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D:\Users\CAMEL\OneDrive\ドキュメント\GAME_DATA\DD4\木曜会\"/>
    </mc:Choice>
  </mc:AlternateContent>
  <bookViews>
    <workbookView xWindow="0" yWindow="-15" windowWidth="15270" windowHeight="8190" tabRatio="693" firstSheet="1" activeTab="1"/>
  </bookViews>
  <sheets>
    <sheet name="コンセプト" sheetId="105" r:id="rId1"/>
    <sheet name="基本" sheetId="2" r:id="rId2"/>
    <sheet name="技能" sheetId="101" r:id="rId3"/>
    <sheet name="武器基礎攻撃" sheetId="69" r:id="rId4"/>
    <sheet name="無01A" sheetId="55" r:id="rId5"/>
    <sheet name="無01B" sheetId="85" r:id="rId6"/>
    <sheet name="テーマ" sheetId="88" r:id="rId7"/>
    <sheet name="遭07" sheetId="89" r:id="rId8"/>
    <sheet name="遭11" sheetId="95" r:id="rId9"/>
    <sheet name="遭13" sheetId="103" r:id="rId10"/>
    <sheet name="遭17" sheetId="107" r:id="rId11"/>
    <sheet name="日05" sheetId="90" r:id="rId12"/>
    <sheet name="日09" sheetId="93" r:id="rId13"/>
    <sheet name="日15" sheetId="76" r:id="rId14"/>
    <sheet name="種族遭" sheetId="75" r:id="rId15"/>
    <sheet name="汎02" sheetId="43" r:id="rId16"/>
    <sheet name="汎06" sheetId="73" r:id="rId17"/>
    <sheet name="汎10" sheetId="94" r:id="rId18"/>
    <sheet name="汎12" sheetId="96" r:id="rId19"/>
    <sheet name="汎16" sheetId="106" r:id="rId20"/>
    <sheet name="日20" sheetId="97" r:id="rId21"/>
  </sheets>
  <definedNames>
    <definedName name="_xlnm.Print_Area" localSheetId="6">テーマ!$A$1:$G$52</definedName>
    <definedName name="_xlnm.Print_Area" localSheetId="1">基本!$A$1:$P$38</definedName>
    <definedName name="_xlnm.Print_Area" localSheetId="14">種族遭!$A$1:$G$53</definedName>
    <definedName name="_xlnm.Print_Area" localSheetId="7">遭07!$A$1:$G$53</definedName>
    <definedName name="_xlnm.Print_Area" localSheetId="8">遭11!$A$1:$G$51</definedName>
    <definedName name="_xlnm.Print_Area" localSheetId="9">遭13!$A$1:$G$52</definedName>
    <definedName name="_xlnm.Print_Area" localSheetId="10">遭17!$A$1:$G$51</definedName>
    <definedName name="_xlnm.Print_Area" localSheetId="11">日05!$A$1:$G$48</definedName>
    <definedName name="_xlnm.Print_Area" localSheetId="12">日09!$A$1:$G$53</definedName>
    <definedName name="_xlnm.Print_Area" localSheetId="13">日15!$A$1:$G$47</definedName>
    <definedName name="_xlnm.Print_Area" localSheetId="20">日20!$A$1:$G$50</definedName>
    <definedName name="_xlnm.Print_Area" localSheetId="15">汎02!$A$1:$G$54</definedName>
    <definedName name="_xlnm.Print_Area" localSheetId="16">汎06!$A$1:$G$54</definedName>
    <definedName name="_xlnm.Print_Area" localSheetId="17">汎10!$A$1:$G$56</definedName>
    <definedName name="_xlnm.Print_Area" localSheetId="18">汎12!$A$1:$G$55</definedName>
    <definedName name="_xlnm.Print_Area" localSheetId="19">汎16!$A$1:$G$57</definedName>
    <definedName name="_xlnm.Print_Area" localSheetId="3">武器基礎攻撃!$A$1:$G$53</definedName>
    <definedName name="_xlnm.Print_Area" localSheetId="4">無01A!$A$1:$G$50</definedName>
    <definedName name="_xlnm.Print_Area" localSheetId="5">無01B!$A$1:$G$50</definedName>
  </definedNames>
  <calcPr calcId="171027"/>
</workbook>
</file>

<file path=xl/calcChain.xml><?xml version="1.0" encoding="utf-8"?>
<calcChain xmlns="http://schemas.openxmlformats.org/spreadsheetml/2006/main">
  <c r="C27" i="107" l="1"/>
  <c r="C25" i="107"/>
  <c r="C27" i="76"/>
  <c r="C23" i="76"/>
  <c r="B14" i="90"/>
  <c r="C28" i="90"/>
  <c r="C24" i="90"/>
  <c r="C24" i="85"/>
  <c r="C28" i="85"/>
  <c r="E51" i="107"/>
  <c r="D51" i="107"/>
  <c r="B51" i="107"/>
  <c r="C21" i="107"/>
  <c r="A19" i="107"/>
  <c r="K14" i="107"/>
  <c r="I14" i="107"/>
  <c r="G7" i="107"/>
  <c r="F7" i="107"/>
  <c r="G6" i="107"/>
  <c r="F6" i="107"/>
  <c r="K14" i="106"/>
  <c r="I14" i="106"/>
  <c r="L11" i="106"/>
  <c r="L9" i="106"/>
  <c r="F6" i="106"/>
  <c r="F7" i="106"/>
  <c r="G7" i="106"/>
  <c r="B57" i="106"/>
  <c r="D57" i="106"/>
  <c r="E57" i="106"/>
  <c r="C27" i="97" l="1"/>
  <c r="C26" i="97"/>
  <c r="U36" i="2"/>
  <c r="C28" i="93"/>
  <c r="C29" i="97" l="1"/>
  <c r="C28" i="97"/>
  <c r="C19" i="76"/>
  <c r="C24" i="93"/>
  <c r="C26" i="95"/>
  <c r="C24" i="95"/>
  <c r="C22" i="103"/>
  <c r="C24" i="89"/>
  <c r="C20" i="89"/>
  <c r="C29" i="69"/>
  <c r="C28" i="69"/>
  <c r="C27" i="69"/>
  <c r="C26" i="69"/>
  <c r="C24" i="88"/>
  <c r="G7" i="94" l="1"/>
  <c r="F7" i="94"/>
  <c r="G6" i="94"/>
  <c r="F6" i="94"/>
  <c r="C22" i="97"/>
  <c r="A20" i="97"/>
  <c r="A18" i="90" l="1"/>
  <c r="C20" i="90"/>
  <c r="A18" i="95"/>
  <c r="C20" i="95"/>
  <c r="A22" i="93"/>
  <c r="A17" i="76"/>
  <c r="A18" i="89"/>
  <c r="A20" i="103"/>
  <c r="C20" i="88"/>
  <c r="E52" i="103"/>
  <c r="D52" i="103"/>
  <c r="B52" i="103"/>
  <c r="K14" i="103"/>
  <c r="I14" i="103"/>
  <c r="G7" i="103"/>
  <c r="F7" i="103"/>
  <c r="G6" i="103"/>
  <c r="F6" i="103"/>
  <c r="E52" i="88"/>
  <c r="D52" i="88"/>
  <c r="A18" i="88"/>
  <c r="K14" i="88"/>
  <c r="I14" i="88"/>
  <c r="G7" i="88"/>
  <c r="F7" i="88"/>
  <c r="G6" i="88"/>
  <c r="F6" i="88"/>
  <c r="E53" i="89"/>
  <c r="D53" i="89"/>
  <c r="B53" i="89"/>
  <c r="K14" i="89"/>
  <c r="I14" i="89"/>
  <c r="G7" i="89"/>
  <c r="F7" i="89"/>
  <c r="G6" i="89"/>
  <c r="F6" i="89"/>
  <c r="E47" i="76"/>
  <c r="D47" i="76"/>
  <c r="B47" i="76"/>
  <c r="K14" i="76"/>
  <c r="I14" i="76"/>
  <c r="G7" i="76"/>
  <c r="F7" i="76"/>
  <c r="G6" i="76"/>
  <c r="F6" i="76"/>
  <c r="C20" i="85"/>
  <c r="Q43" i="2" l="1"/>
  <c r="N43" i="2" s="1"/>
  <c r="J43" i="2"/>
  <c r="Q34" i="2"/>
  <c r="N34" i="2" s="1"/>
  <c r="J34" i="2"/>
  <c r="O43" i="2" l="1"/>
  <c r="O34" i="2"/>
  <c r="L9" i="107" s="1"/>
  <c r="Q25" i="2"/>
  <c r="N25" i="2" s="1"/>
  <c r="Q18" i="2"/>
  <c r="N18" i="2" s="1"/>
  <c r="O18" i="2" s="1"/>
  <c r="R11" i="69" s="1"/>
  <c r="Q16" i="2"/>
  <c r="N16" i="2" s="1"/>
  <c r="L9" i="97"/>
  <c r="L11" i="96"/>
  <c r="L9" i="96"/>
  <c r="L11" i="94"/>
  <c r="L9" i="94"/>
  <c r="L11" i="73"/>
  <c r="L9" i="73"/>
  <c r="L11" i="43"/>
  <c r="L9" i="43"/>
  <c r="L11" i="75"/>
  <c r="L9" i="75"/>
  <c r="L9" i="93"/>
  <c r="L9" i="90"/>
  <c r="L9" i="95"/>
  <c r="L9" i="89" l="1"/>
  <c r="L9" i="76"/>
  <c r="L9" i="88"/>
  <c r="L9" i="103"/>
  <c r="Q9" i="2"/>
  <c r="N9" i="2" s="1"/>
  <c r="O9" i="2" s="1"/>
  <c r="L11" i="69" s="1"/>
  <c r="Q7" i="2"/>
  <c r="N7" i="2" s="1"/>
  <c r="C19" i="55" l="1"/>
  <c r="H8" i="101" l="1"/>
  <c r="H25" i="101" l="1"/>
  <c r="H24" i="101"/>
  <c r="H23" i="101"/>
  <c r="H22" i="101"/>
  <c r="G22" i="101"/>
  <c r="H21" i="101"/>
  <c r="H20" i="101"/>
  <c r="H18" i="101"/>
  <c r="H17" i="101"/>
  <c r="H16" i="101"/>
  <c r="H15" i="101"/>
  <c r="G15" i="101"/>
  <c r="H14" i="101"/>
  <c r="H12" i="101"/>
  <c r="G12" i="101"/>
  <c r="H11" i="101"/>
  <c r="G11" i="101"/>
  <c r="H10" i="101"/>
  <c r="G10" i="101"/>
  <c r="H9" i="101"/>
  <c r="G32" i="101"/>
  <c r="G31" i="101"/>
  <c r="H19" i="101"/>
  <c r="H13" i="101"/>
  <c r="C18" i="69" l="1"/>
  <c r="A18" i="85" l="1"/>
  <c r="A53" i="75"/>
  <c r="G7" i="93"/>
  <c r="Q14" i="69"/>
  <c r="O14" i="69"/>
  <c r="Q13" i="69"/>
  <c r="O13" i="69"/>
  <c r="C23" i="69" l="1"/>
  <c r="C22" i="69"/>
  <c r="E50" i="97" l="1"/>
  <c r="D50" i="97"/>
  <c r="B50" i="97"/>
  <c r="K14" i="97"/>
  <c r="I14" i="97"/>
  <c r="G7" i="97"/>
  <c r="F7" i="97"/>
  <c r="G6" i="97"/>
  <c r="F6" i="97"/>
  <c r="E55" i="96"/>
  <c r="D55" i="96"/>
  <c r="B55" i="96"/>
  <c r="K14" i="96"/>
  <c r="I14" i="96"/>
  <c r="G7" i="96"/>
  <c r="F7" i="96"/>
  <c r="G6" i="96"/>
  <c r="F6" i="96"/>
  <c r="B10" i="43"/>
  <c r="E51" i="95" l="1"/>
  <c r="D51" i="95"/>
  <c r="B51" i="95"/>
  <c r="K14" i="95"/>
  <c r="I14" i="95"/>
  <c r="G7" i="95"/>
  <c r="F7" i="95"/>
  <c r="G6" i="95"/>
  <c r="F6" i="95"/>
  <c r="K14" i="94" l="1"/>
  <c r="I14" i="94"/>
  <c r="K14" i="73"/>
  <c r="I14" i="73"/>
  <c r="K14" i="43"/>
  <c r="I14" i="43"/>
  <c r="K14" i="75"/>
  <c r="I14" i="75"/>
  <c r="K14" i="93"/>
  <c r="I14" i="93"/>
  <c r="K14" i="90"/>
  <c r="I14" i="90"/>
  <c r="K14" i="85"/>
  <c r="I14" i="85"/>
  <c r="K14" i="55"/>
  <c r="I14" i="55"/>
  <c r="K14" i="69"/>
  <c r="I14" i="69"/>
  <c r="K13" i="69"/>
  <c r="I13" i="69"/>
  <c r="E56" i="94" l="1"/>
  <c r="D56" i="94"/>
  <c r="B56" i="94"/>
  <c r="E53" i="93" l="1"/>
  <c r="D53" i="93"/>
  <c r="B53" i="93"/>
  <c r="F7" i="93"/>
  <c r="G6" i="93"/>
  <c r="F6" i="93"/>
  <c r="A17" i="55"/>
  <c r="E48" i="90" l="1"/>
  <c r="D48" i="90"/>
  <c r="B48" i="90"/>
  <c r="G7" i="90"/>
  <c r="F7" i="90"/>
  <c r="G6" i="90"/>
  <c r="F6" i="90"/>
  <c r="E50" i="85" l="1"/>
  <c r="D50" i="85"/>
  <c r="B50" i="85"/>
  <c r="G7" i="85"/>
  <c r="F7" i="85"/>
  <c r="G6" i="85"/>
  <c r="F6" i="85"/>
  <c r="C23" i="2" l="1"/>
  <c r="A13" i="2" l="1"/>
  <c r="C13" i="2" s="1"/>
  <c r="G6" i="69" l="1"/>
  <c r="G6" i="55"/>
  <c r="G6" i="75"/>
  <c r="E53" i="75" l="1"/>
  <c r="D53" i="75"/>
  <c r="G7" i="75"/>
  <c r="F7" i="75"/>
  <c r="F6" i="75"/>
  <c r="E54" i="73" l="1"/>
  <c r="D54" i="73"/>
  <c r="B54" i="73"/>
  <c r="G7" i="73"/>
  <c r="F7" i="73"/>
  <c r="G6" i="73"/>
  <c r="F6" i="73"/>
  <c r="B50" i="55" l="1"/>
  <c r="D50" i="55"/>
  <c r="E53" i="69"/>
  <c r="C25" i="69"/>
  <c r="C24" i="69"/>
  <c r="A17" i="69"/>
  <c r="G7" i="69"/>
  <c r="F7" i="69"/>
  <c r="C5" i="2" l="1"/>
  <c r="C6" i="2"/>
  <c r="D13" i="2" s="1"/>
  <c r="D5" i="2" l="1"/>
  <c r="L15" i="69"/>
  <c r="F6" i="55"/>
  <c r="F7" i="55"/>
  <c r="G7" i="55"/>
  <c r="D10" i="101" l="1"/>
  <c r="A10" i="101" s="1"/>
  <c r="E50" i="55"/>
  <c r="D31" i="2" l="1"/>
  <c r="D30" i="2"/>
  <c r="D29" i="2"/>
  <c r="D28" i="2"/>
  <c r="D27" i="2"/>
  <c r="E54" i="43" l="1"/>
  <c r="D54" i="43"/>
  <c r="B54" i="43"/>
  <c r="G7" i="43"/>
  <c r="F7" i="43"/>
  <c r="G6" i="43"/>
  <c r="F6" i="43"/>
  <c r="C7" i="2" l="1"/>
  <c r="L15" i="106" s="1"/>
  <c r="B11" i="106" s="1"/>
  <c r="C8" i="2"/>
  <c r="C9" i="2"/>
  <c r="C10" i="2"/>
  <c r="J8" i="107" l="1"/>
  <c r="L8" i="107" s="1"/>
  <c r="J10" i="107"/>
  <c r="L15" i="107"/>
  <c r="J10" i="106"/>
  <c r="J8" i="106"/>
  <c r="L8" i="106" s="1"/>
  <c r="J8" i="103"/>
  <c r="L8" i="103" s="1"/>
  <c r="L15" i="88"/>
  <c r="J10" i="89"/>
  <c r="J8" i="88"/>
  <c r="L8" i="88" s="1"/>
  <c r="J10" i="76"/>
  <c r="L15" i="103"/>
  <c r="J8" i="76"/>
  <c r="L8" i="76" s="1"/>
  <c r="J10" i="103"/>
  <c r="J10" i="88"/>
  <c r="J8" i="89"/>
  <c r="L8" i="89" s="1"/>
  <c r="L15" i="89"/>
  <c r="I43" i="2"/>
  <c r="G43" i="2" s="1"/>
  <c r="I34" i="2"/>
  <c r="G34" i="2" s="1"/>
  <c r="K45" i="2"/>
  <c r="K36" i="2"/>
  <c r="L15" i="76"/>
  <c r="S45" i="2"/>
  <c r="Q45" i="2" s="1"/>
  <c r="N45" i="2" s="1"/>
  <c r="O45" i="2" s="1"/>
  <c r="S36" i="2"/>
  <c r="Q36" i="2" s="1"/>
  <c r="N36" i="2" s="1"/>
  <c r="O36" i="2" s="1"/>
  <c r="S27" i="2"/>
  <c r="Q27" i="2" s="1"/>
  <c r="N27" i="2" s="1"/>
  <c r="O27" i="2" s="1"/>
  <c r="J10" i="96"/>
  <c r="J8" i="97"/>
  <c r="L15" i="96"/>
  <c r="J8" i="96"/>
  <c r="L8" i="96" s="1"/>
  <c r="J10" i="97"/>
  <c r="J8" i="95"/>
  <c r="L15" i="95"/>
  <c r="J10" i="95"/>
  <c r="P10" i="69"/>
  <c r="P8" i="69"/>
  <c r="L15" i="97"/>
  <c r="L15" i="43"/>
  <c r="L15" i="85"/>
  <c r="L15" i="93"/>
  <c r="B12" i="93" s="1"/>
  <c r="L15" i="90"/>
  <c r="L15" i="94"/>
  <c r="L15" i="75"/>
  <c r="L15" i="55"/>
  <c r="L15" i="73"/>
  <c r="B14" i="73" s="1"/>
  <c r="J8" i="94"/>
  <c r="J10" i="94"/>
  <c r="J10" i="93"/>
  <c r="J8" i="93"/>
  <c r="J10" i="43"/>
  <c r="J10" i="90"/>
  <c r="J8" i="90"/>
  <c r="J10" i="85"/>
  <c r="J8" i="85"/>
  <c r="J8" i="73"/>
  <c r="J10" i="73"/>
  <c r="J10" i="75"/>
  <c r="J8" i="43"/>
  <c r="J8" i="75"/>
  <c r="J10" i="69"/>
  <c r="J8" i="69"/>
  <c r="D6" i="2"/>
  <c r="J10" i="55"/>
  <c r="J8" i="55"/>
  <c r="D7" i="2"/>
  <c r="D8" i="2"/>
  <c r="D9" i="2"/>
  <c r="D10" i="2"/>
  <c r="I7" i="2"/>
  <c r="K9" i="2"/>
  <c r="I9" i="2" s="1"/>
  <c r="I45" i="2" l="1"/>
  <c r="L14" i="106"/>
  <c r="L13" i="106"/>
  <c r="D23" i="107"/>
  <c r="D21" i="107"/>
  <c r="G22" i="107"/>
  <c r="F24" i="107"/>
  <c r="G24" i="107"/>
  <c r="E23" i="107"/>
  <c r="F22" i="107"/>
  <c r="E22" i="107"/>
  <c r="E24" i="107"/>
  <c r="D24" i="107"/>
  <c r="D22" i="107"/>
  <c r="G23" i="107"/>
  <c r="G21" i="107"/>
  <c r="F23" i="107"/>
  <c r="F21" i="107"/>
  <c r="E21" i="107"/>
  <c r="I36" i="2"/>
  <c r="L11" i="107"/>
  <c r="G22" i="76"/>
  <c r="F22" i="76"/>
  <c r="E22" i="76"/>
  <c r="D22" i="76"/>
  <c r="G21" i="76"/>
  <c r="F21" i="76"/>
  <c r="E21" i="76"/>
  <c r="D21" i="76"/>
  <c r="G20" i="76"/>
  <c r="F20" i="76"/>
  <c r="E20" i="76"/>
  <c r="D20" i="76"/>
  <c r="G19" i="76"/>
  <c r="F19" i="76"/>
  <c r="E19" i="76"/>
  <c r="D19" i="76"/>
  <c r="G25" i="103"/>
  <c r="F25" i="103"/>
  <c r="E25" i="103"/>
  <c r="D25" i="103"/>
  <c r="G24" i="103"/>
  <c r="F24" i="103"/>
  <c r="E24" i="103"/>
  <c r="D24" i="103"/>
  <c r="G23" i="103"/>
  <c r="F23" i="103"/>
  <c r="E23" i="103"/>
  <c r="D23" i="103"/>
  <c r="G22" i="103"/>
  <c r="F22" i="103"/>
  <c r="E22" i="103"/>
  <c r="D22" i="103"/>
  <c r="G23" i="89"/>
  <c r="F23" i="89"/>
  <c r="E23" i="89"/>
  <c r="D23" i="89"/>
  <c r="G22" i="89"/>
  <c r="F22" i="89"/>
  <c r="E22" i="89"/>
  <c r="D22" i="89"/>
  <c r="G21" i="89"/>
  <c r="F21" i="89"/>
  <c r="E21" i="89"/>
  <c r="D21" i="89"/>
  <c r="G20" i="89"/>
  <c r="F20" i="89"/>
  <c r="E20" i="89"/>
  <c r="D20" i="89"/>
  <c r="L11" i="55"/>
  <c r="L11" i="85"/>
  <c r="F20" i="88"/>
  <c r="F22" i="88"/>
  <c r="D23" i="88"/>
  <c r="E21" i="88"/>
  <c r="E23" i="88"/>
  <c r="G23" i="88"/>
  <c r="E20" i="88"/>
  <c r="G20" i="88"/>
  <c r="G22" i="88"/>
  <c r="D21" i="88"/>
  <c r="G21" i="88"/>
  <c r="D22" i="88"/>
  <c r="E22" i="88"/>
  <c r="F21" i="88"/>
  <c r="F23" i="88"/>
  <c r="D20" i="88"/>
  <c r="L11" i="76"/>
  <c r="L13" i="76" s="1"/>
  <c r="L11" i="89"/>
  <c r="L14" i="89" s="1"/>
  <c r="L11" i="88"/>
  <c r="L14" i="88" s="1"/>
  <c r="L11" i="103"/>
  <c r="L14" i="103" s="1"/>
  <c r="L11" i="95"/>
  <c r="L11" i="90"/>
  <c r="L11" i="97"/>
  <c r="L13" i="97" s="1"/>
  <c r="L11" i="93"/>
  <c r="L13" i="93" s="1"/>
  <c r="R13" i="69"/>
  <c r="R14" i="69"/>
  <c r="D8" i="101"/>
  <c r="A8" i="101" s="1"/>
  <c r="D19" i="101"/>
  <c r="A19" i="101" s="1"/>
  <c r="C32" i="101" s="1"/>
  <c r="A32" i="101" s="1"/>
  <c r="D13" i="101"/>
  <c r="A13" i="101" s="1"/>
  <c r="C31" i="101" s="1"/>
  <c r="A31" i="101" s="1"/>
  <c r="D17" i="101"/>
  <c r="A17" i="101" s="1"/>
  <c r="D20" i="101"/>
  <c r="A20" i="101" s="1"/>
  <c r="D21" i="101"/>
  <c r="A21" i="101" s="1"/>
  <c r="D15" i="101"/>
  <c r="A15" i="101" s="1"/>
  <c r="D23" i="101"/>
  <c r="A23" i="101" s="1"/>
  <c r="D16" i="101"/>
  <c r="A16" i="101" s="1"/>
  <c r="D9" i="101"/>
  <c r="A9" i="101" s="1"/>
  <c r="D14" i="101"/>
  <c r="A14" i="101" s="1"/>
  <c r="D24" i="101"/>
  <c r="A24" i="101" s="1"/>
  <c r="D25" i="101"/>
  <c r="A25" i="101" s="1"/>
  <c r="D18" i="101"/>
  <c r="A18" i="101" s="1"/>
  <c r="D11" i="101"/>
  <c r="A11" i="101" s="1"/>
  <c r="D22" i="101"/>
  <c r="A22" i="101" s="1"/>
  <c r="D12" i="101"/>
  <c r="A12" i="101" s="1"/>
  <c r="L14" i="95"/>
  <c r="L8" i="93"/>
  <c r="L8" i="97"/>
  <c r="L8" i="95"/>
  <c r="L13" i="96"/>
  <c r="L14" i="96"/>
  <c r="L8" i="94"/>
  <c r="L14" i="94"/>
  <c r="L13" i="94"/>
  <c r="L13" i="75"/>
  <c r="L14" i="73"/>
  <c r="L13" i="69"/>
  <c r="G28" i="76" l="1"/>
  <c r="F28" i="76"/>
  <c r="E28" i="76"/>
  <c r="D28" i="76"/>
  <c r="G27" i="76"/>
  <c r="F27" i="76"/>
  <c r="E27" i="76"/>
  <c r="D27" i="76"/>
  <c r="G24" i="76"/>
  <c r="F24" i="76"/>
  <c r="E24" i="76"/>
  <c r="D24" i="76"/>
  <c r="G23" i="76"/>
  <c r="F23" i="76"/>
  <c r="E23" i="76"/>
  <c r="D23" i="76"/>
  <c r="F24" i="69"/>
  <c r="E24" i="69"/>
  <c r="D24" i="69"/>
  <c r="F22" i="69"/>
  <c r="E22" i="69"/>
  <c r="D22" i="69"/>
  <c r="L14" i="107"/>
  <c r="L13" i="107"/>
  <c r="G25" i="69"/>
  <c r="G23" i="69"/>
  <c r="G24" i="69"/>
  <c r="G22" i="69"/>
  <c r="G26" i="97"/>
  <c r="F26" i="97"/>
  <c r="E26" i="97"/>
  <c r="D26" i="97"/>
  <c r="D28" i="93"/>
  <c r="E28" i="93"/>
  <c r="F28" i="93"/>
  <c r="G28" i="93"/>
  <c r="L13" i="88"/>
  <c r="L13" i="89"/>
  <c r="G28" i="97"/>
  <c r="F28" i="97"/>
  <c r="E28" i="97"/>
  <c r="D28" i="97"/>
  <c r="G27" i="93"/>
  <c r="F27" i="93"/>
  <c r="E27" i="93"/>
  <c r="D27" i="93"/>
  <c r="G26" i="93"/>
  <c r="F26" i="93"/>
  <c r="E26" i="93"/>
  <c r="D26" i="93"/>
  <c r="G25" i="93"/>
  <c r="F25" i="93"/>
  <c r="E25" i="93"/>
  <c r="D25" i="93"/>
  <c r="G24" i="93"/>
  <c r="F24" i="93"/>
  <c r="E24" i="93"/>
  <c r="D24" i="93"/>
  <c r="G27" i="95"/>
  <c r="F27" i="95"/>
  <c r="E27" i="95"/>
  <c r="D27" i="95"/>
  <c r="G25" i="95"/>
  <c r="F25" i="95"/>
  <c r="E25" i="95"/>
  <c r="D25" i="95"/>
  <c r="G27" i="103"/>
  <c r="F27" i="103"/>
  <c r="E27" i="103"/>
  <c r="D27" i="103"/>
  <c r="G24" i="89"/>
  <c r="F24" i="89"/>
  <c r="E24" i="89"/>
  <c r="D24" i="89"/>
  <c r="G25" i="89"/>
  <c r="F25" i="89"/>
  <c r="E25" i="89"/>
  <c r="D25" i="89"/>
  <c r="F28" i="69"/>
  <c r="E28" i="69"/>
  <c r="D28" i="69"/>
  <c r="F26" i="69"/>
  <c r="E26" i="69"/>
  <c r="D26" i="69"/>
  <c r="G29" i="69"/>
  <c r="G27" i="69"/>
  <c r="G28" i="69"/>
  <c r="G26" i="69"/>
  <c r="G24" i="88"/>
  <c r="F24" i="88"/>
  <c r="E24" i="88"/>
  <c r="D24" i="88"/>
  <c r="G25" i="88"/>
  <c r="F25" i="88"/>
  <c r="E25" i="88"/>
  <c r="D25" i="88"/>
  <c r="L14" i="76"/>
  <c r="L13" i="103"/>
  <c r="G25" i="97"/>
  <c r="F25" i="97"/>
  <c r="E25" i="97"/>
  <c r="D25" i="97"/>
  <c r="G24" i="97"/>
  <c r="F24" i="97"/>
  <c r="E24" i="97"/>
  <c r="D24" i="97"/>
  <c r="G23" i="97"/>
  <c r="F23" i="97"/>
  <c r="E23" i="97"/>
  <c r="D23" i="97"/>
  <c r="G22" i="97"/>
  <c r="F22" i="97"/>
  <c r="E22" i="97"/>
  <c r="D22" i="97"/>
  <c r="G23" i="95"/>
  <c r="F23" i="95"/>
  <c r="E23" i="95"/>
  <c r="D23" i="95"/>
  <c r="G22" i="95"/>
  <c r="F22" i="95"/>
  <c r="E22" i="95"/>
  <c r="D22" i="95"/>
  <c r="G21" i="95"/>
  <c r="F21" i="95"/>
  <c r="E21" i="95"/>
  <c r="D21" i="95"/>
  <c r="G20" i="95"/>
  <c r="F20" i="95"/>
  <c r="E20" i="95"/>
  <c r="D20" i="95"/>
  <c r="L14" i="97"/>
  <c r="L13" i="95"/>
  <c r="L14" i="93"/>
  <c r="B16" i="97"/>
  <c r="L14" i="69"/>
  <c r="L14" i="85"/>
  <c r="L13" i="85"/>
  <c r="L14" i="75"/>
  <c r="L13" i="73"/>
  <c r="L8" i="90"/>
  <c r="L13" i="90"/>
  <c r="L14" i="90"/>
  <c r="J7" i="2"/>
  <c r="O7" i="2" s="1"/>
  <c r="L9" i="69" s="1"/>
  <c r="G27" i="107" l="1"/>
  <c r="F27" i="107"/>
  <c r="E27" i="107"/>
  <c r="D27" i="107"/>
  <c r="G25" i="107"/>
  <c r="F25" i="107"/>
  <c r="E25" i="107"/>
  <c r="D25" i="107"/>
  <c r="G28" i="107"/>
  <c r="F28" i="107"/>
  <c r="E28" i="107"/>
  <c r="D28" i="107"/>
  <c r="G26" i="107"/>
  <c r="F26" i="107"/>
  <c r="E26" i="107"/>
  <c r="D26" i="107"/>
  <c r="G30" i="76"/>
  <c r="F30" i="76"/>
  <c r="E30" i="76"/>
  <c r="D30" i="76"/>
  <c r="G29" i="76"/>
  <c r="F29" i="76"/>
  <c r="E29" i="76"/>
  <c r="D29" i="76"/>
  <c r="G26" i="76"/>
  <c r="F26" i="76"/>
  <c r="E26" i="76"/>
  <c r="D26" i="76"/>
  <c r="G25" i="76"/>
  <c r="F25" i="76"/>
  <c r="E25" i="76"/>
  <c r="D25" i="76"/>
  <c r="G31" i="90"/>
  <c r="F31" i="90"/>
  <c r="E31" i="90"/>
  <c r="D31" i="90"/>
  <c r="G30" i="90"/>
  <c r="F30" i="90"/>
  <c r="E30" i="90"/>
  <c r="D30" i="90"/>
  <c r="G27" i="90"/>
  <c r="F27" i="90"/>
  <c r="E27" i="90"/>
  <c r="D27" i="90"/>
  <c r="G26" i="90"/>
  <c r="F26" i="90"/>
  <c r="E26" i="90"/>
  <c r="D26" i="90"/>
  <c r="G29" i="90"/>
  <c r="F29" i="90"/>
  <c r="E29" i="90"/>
  <c r="D29" i="90"/>
  <c r="G28" i="90"/>
  <c r="F28" i="90"/>
  <c r="E28" i="90"/>
  <c r="D28" i="90"/>
  <c r="G25" i="90"/>
  <c r="F25" i="90"/>
  <c r="E25" i="90"/>
  <c r="D25" i="90"/>
  <c r="G24" i="90"/>
  <c r="F24" i="90"/>
  <c r="E24" i="90"/>
  <c r="D24" i="90"/>
  <c r="G29" i="85"/>
  <c r="F29" i="85"/>
  <c r="E29" i="85"/>
  <c r="D29" i="85"/>
  <c r="G28" i="85"/>
  <c r="F28" i="85"/>
  <c r="E28" i="85"/>
  <c r="D28" i="85"/>
  <c r="G31" i="85"/>
  <c r="F31" i="85"/>
  <c r="E31" i="85"/>
  <c r="D31" i="85"/>
  <c r="G30" i="85"/>
  <c r="F30" i="85"/>
  <c r="E30" i="85"/>
  <c r="D30" i="85"/>
  <c r="G25" i="85"/>
  <c r="F25" i="85"/>
  <c r="E25" i="85"/>
  <c r="D25" i="85"/>
  <c r="G24" i="85"/>
  <c r="F24" i="85"/>
  <c r="E24" i="85"/>
  <c r="D24" i="85"/>
  <c r="G27" i="85"/>
  <c r="F27" i="85"/>
  <c r="E27" i="85"/>
  <c r="D27" i="85"/>
  <c r="G26" i="85"/>
  <c r="F26" i="85"/>
  <c r="E26" i="85"/>
  <c r="D26" i="85"/>
  <c r="F25" i="69"/>
  <c r="E25" i="69"/>
  <c r="D25" i="69"/>
  <c r="F23" i="69"/>
  <c r="E23" i="69"/>
  <c r="D23" i="69"/>
  <c r="G27" i="97"/>
  <c r="F27" i="97"/>
  <c r="E27" i="97"/>
  <c r="D27" i="97"/>
  <c r="D29" i="93"/>
  <c r="E29" i="93"/>
  <c r="F29" i="93"/>
  <c r="G29" i="93"/>
  <c r="G29" i="97"/>
  <c r="F29" i="97"/>
  <c r="E29" i="97"/>
  <c r="D29" i="97"/>
  <c r="G26" i="95"/>
  <c r="F26" i="95"/>
  <c r="E26" i="95"/>
  <c r="D26" i="95"/>
  <c r="G24" i="95"/>
  <c r="F24" i="95"/>
  <c r="E24" i="95"/>
  <c r="D24" i="95"/>
  <c r="G26" i="103"/>
  <c r="F26" i="103"/>
  <c r="E26" i="103"/>
  <c r="D26" i="103"/>
  <c r="F29" i="69"/>
  <c r="E29" i="69"/>
  <c r="D29" i="69"/>
  <c r="F27" i="69"/>
  <c r="E27" i="69"/>
  <c r="D27" i="69"/>
  <c r="G23" i="90"/>
  <c r="F23" i="90"/>
  <c r="E23" i="90"/>
  <c r="D23" i="90"/>
  <c r="G22" i="90"/>
  <c r="F22" i="90"/>
  <c r="E22" i="90"/>
  <c r="D22" i="90"/>
  <c r="G21" i="90"/>
  <c r="F21" i="90"/>
  <c r="E21" i="90"/>
  <c r="D21" i="90"/>
  <c r="G20" i="90"/>
  <c r="F20" i="90"/>
  <c r="E20" i="90"/>
  <c r="D20" i="90"/>
  <c r="L8" i="69"/>
  <c r="F21" i="69" l="1"/>
  <c r="E21" i="69"/>
  <c r="D21" i="69"/>
  <c r="F20" i="69"/>
  <c r="E20" i="69"/>
  <c r="D20" i="69"/>
  <c r="F19" i="69"/>
  <c r="E19" i="69"/>
  <c r="D19" i="69"/>
  <c r="F18" i="69"/>
  <c r="E18" i="69"/>
  <c r="D18" i="69"/>
  <c r="G7" i="2"/>
  <c r="L14" i="55" l="1"/>
  <c r="L13" i="55"/>
  <c r="L13" i="43"/>
  <c r="L14" i="43"/>
  <c r="I16" i="2"/>
  <c r="K18" i="2"/>
  <c r="I18" i="2" s="1"/>
  <c r="K27" i="2"/>
  <c r="I27" i="2" s="1"/>
  <c r="I25" i="2"/>
  <c r="D23" i="55" l="1"/>
  <c r="G24" i="55"/>
  <c r="F24" i="55"/>
  <c r="E24" i="55"/>
  <c r="D24" i="55"/>
  <c r="G23" i="55"/>
  <c r="F23" i="55"/>
  <c r="E23" i="55"/>
  <c r="G26" i="55"/>
  <c r="F26" i="55"/>
  <c r="E26" i="55"/>
  <c r="D26" i="55"/>
  <c r="G25" i="55"/>
  <c r="F25" i="55"/>
  <c r="E25" i="55"/>
  <c r="D25" i="55"/>
  <c r="J25" i="2"/>
  <c r="J16" i="2"/>
  <c r="O16" i="2" s="1"/>
  <c r="R9" i="69" s="1"/>
  <c r="R8" i="69" s="1"/>
  <c r="O25" i="2" l="1"/>
  <c r="G21" i="69"/>
  <c r="G20" i="69"/>
  <c r="G19" i="69"/>
  <c r="G18" i="69"/>
  <c r="G16" i="2"/>
  <c r="L8" i="73"/>
  <c r="L8" i="75"/>
  <c r="G25" i="2"/>
  <c r="L8" i="43"/>
  <c r="L9" i="85" l="1"/>
  <c r="L8" i="85" s="1"/>
  <c r="L9" i="55"/>
  <c r="L8" i="55" s="1"/>
  <c r="E20" i="55" s="1"/>
  <c r="B13" i="2"/>
  <c r="D19" i="55" l="1"/>
  <c r="F20" i="55"/>
  <c r="F19" i="55"/>
  <c r="D22" i="55"/>
  <c r="G20" i="55"/>
  <c r="G19" i="55"/>
  <c r="D21" i="55"/>
  <c r="E22" i="55"/>
  <c r="E21" i="55"/>
  <c r="F22" i="55"/>
  <c r="F21" i="55"/>
  <c r="G22" i="55"/>
  <c r="G21" i="55"/>
  <c r="D20" i="55"/>
  <c r="E19" i="55"/>
  <c r="E22" i="85"/>
  <c r="E20" i="85"/>
  <c r="G21" i="85"/>
  <c r="F23" i="85"/>
  <c r="F21" i="85"/>
  <c r="D21" i="85"/>
  <c r="G22" i="85"/>
  <c r="G20" i="85"/>
  <c r="F20" i="85"/>
  <c r="D22" i="85"/>
  <c r="D20" i="85"/>
  <c r="G23" i="85"/>
  <c r="D23" i="85"/>
  <c r="E23" i="85"/>
  <c r="E21" i="85"/>
  <c r="F22" i="85"/>
</calcChain>
</file>

<file path=xl/comments1.xml><?xml version="1.0" encoding="utf-8"?>
<comments xmlns="http://schemas.openxmlformats.org/spreadsheetml/2006/main">
  <authors>
    <author>さすけい</author>
  </authors>
  <commentList>
    <comment ref="O1" authorId="0" shapeId="0">
      <text>
        <r>
          <rPr>
            <b/>
            <sz val="9"/>
            <color indexed="81"/>
            <rFont val="ＭＳ Ｐゴシック"/>
            <family val="3"/>
            <charset val="128"/>
          </rPr>
          <t>さすけい:</t>
        </r>
        <r>
          <rPr>
            <sz val="9"/>
            <color indexed="81"/>
            <rFont val="ＭＳ Ｐゴシック"/>
            <family val="3"/>
            <charset val="128"/>
          </rPr>
          <t xml:space="preserve">
チェック＆修正し易いように
レイアウト大幅変更しちゃいました
御免ちゃい
どうせ印刷されないし大丈夫ッスよね？
</t>
        </r>
      </text>
    </comment>
    <comment ref="U35" authorId="0" shapeId="0">
      <text>
        <r>
          <rPr>
            <b/>
            <sz val="9"/>
            <color indexed="81"/>
            <rFont val="ＭＳ Ｐゴシック"/>
            <family val="3"/>
            <charset val="128"/>
          </rPr>
          <t>さすけい:</t>
        </r>
        <r>
          <rPr>
            <sz val="9"/>
            <color indexed="81"/>
            <rFont val="ＭＳ Ｐゴシック"/>
            <family val="3"/>
            <charset val="128"/>
          </rPr>
          <t xml:space="preserve">
雷鳴パワーにゃ必ず付くので
もう最初っから足しておきました
コレでも支障無いハズです</t>
        </r>
      </text>
    </comment>
  </commentList>
</comments>
</file>

<file path=xl/sharedStrings.xml><?xml version="1.0" encoding="utf-8"?>
<sst xmlns="http://schemas.openxmlformats.org/spreadsheetml/2006/main" count="1940" uniqueCount="625">
  <si>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</si>
  <si>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</si>
  <si>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</si>
  <si>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</si>
  <si>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</si>
  <si>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</si>
  <si>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</si>
  <si>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</si>
  <si>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</si>
  <si>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</si>
  <si>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</si>
  <si>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</si>
  <si>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</si>
  <si>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</si>
  <si>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</si>
  <si>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</si>
  <si>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</si>
  <si>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</si>
  <si>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</si>
  <si>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</si>
  <si>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</si>
  <si>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</si>
  <si>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</si>
  <si>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</si>
  <si>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</si>
  <si>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</si>
  <si>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</si>
  <si>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</si>
  <si>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</si>
  <si>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</si>
  <si>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</si>
  <si>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</si>
  <si>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</si>
  <si>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</si>
  <si>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</si>
  <si>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</si>
  <si>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</si>
  <si>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</si>
  <si>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</si>
  <si>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</si>
  <si>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</si>
  <si>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</si>
  <si>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</si>
  <si>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</si>
  <si>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</si>
  <si>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</si>
  <si>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</si>
  <si>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</si>
  <si>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</si>
  <si>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</si>
  <si>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</si>
  <si>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</si>
  <si>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</si>
  <si>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</si>
  <si>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</si>
  <si>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</si>
  <si>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</si>
  <si>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</si>
  <si>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</si>
  <si>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</si>
  <si>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</si>
  <si>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</si>
  <si>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</si>
  <si>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</si>
  <si>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</si>
  <si>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</si>
  <si>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</si>
  <si>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</si>
  <si>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</si>
  <si>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</si>
  <si>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</si>
  <si>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</si>
  <si>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</si>
  <si>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</si>
  <si>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</si>
  <si>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</si>
  <si>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</si>
  <si>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</si>
  <si>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</si>
  <si>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</si>
  <si>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</si>
  <si>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</si>
  <si>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</si>
  <si>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</si>
  <si>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</si>
  <si>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</si>
  <si>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</si>
  <si>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</si>
  <si>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</si>
  <si>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</si>
  <si>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</si>
  <si>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</si>
  <si>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</si>
  <si>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</si>
  <si>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</si>
  <si>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</si>
  <si>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遠隔基礎</t>
    <rPh sb="0" eb="2">
      <t>エンカク</t>
    </rPh>
    <rPh sb="2" eb="4">
      <t>キソ</t>
    </rPh>
    <phoneticPr fontId="1"/>
  </si>
  <si>
    <t>パワー</t>
    <phoneticPr fontId="1"/>
  </si>
  <si>
    <t>使用者</t>
    <rPh sb="0" eb="3">
      <t>シヨウシャ</t>
    </rPh>
    <phoneticPr fontId="1"/>
  </si>
  <si>
    <t>精霊</t>
    <rPh sb="0" eb="2">
      <t>セイレイ</t>
    </rPh>
    <phoneticPr fontId="1"/>
  </si>
  <si>
    <t>武器</t>
    <rPh sb="0" eb="2">
      <t>ブキ</t>
    </rPh>
    <phoneticPr fontId="1"/>
  </si>
  <si>
    <t>近接基礎</t>
  </si>
  <si>
    <t>近接or遠隔</t>
    <rPh sb="0" eb="2">
      <t>キンセツ</t>
    </rPh>
    <rPh sb="4" eb="6">
      <t>エンカク</t>
    </rPh>
    <phoneticPr fontId="1"/>
  </si>
  <si>
    <t>突撃</t>
    <rPh sb="0" eb="2">
      <t>トツゲキ</t>
    </rPh>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</si>
  <si>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</si>
  <si>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</si>
  <si>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</si>
  <si>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</si>
  <si>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</si>
  <si>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</si>
  <si>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機会攻撃</t>
    <rPh sb="0" eb="2">
      <t>キカイ</t>
    </rPh>
    <rPh sb="2" eb="4">
      <t>コウゲキ</t>
    </rPh>
    <phoneticPr fontId="1"/>
  </si>
  <si>
    <t>遭遇毎</t>
    <rPh sb="0" eb="2">
      <t>ソウグウ</t>
    </rPh>
    <rPh sb="2" eb="3">
      <t>ゴト</t>
    </rPh>
    <phoneticPr fontId="1"/>
  </si>
  <si>
    <t>パワー</t>
  </si>
  <si>
    <t>基本</t>
    <rPh sb="0" eb="2">
      <t>キホン</t>
    </rPh>
    <phoneticPr fontId="1"/>
  </si>
  <si>
    <t>Lv</t>
  </si>
  <si>
    <t>ＡＣ</t>
  </si>
  <si>
    <t>目標</t>
    <rPh sb="0" eb="2">
      <t>モクヒョウ</t>
    </rPh>
    <phoneticPr fontId="1"/>
  </si>
  <si>
    <t>キーワード</t>
    <phoneticPr fontId="1"/>
  </si>
  <si>
    <t>アクション</t>
    <phoneticPr fontId="1"/>
  </si>
  <si>
    <t>Lv</t>
    <phoneticPr fontId="1"/>
  </si>
  <si>
    <t>一日毎</t>
    <rPh sb="0" eb="2">
      <t>イチニチ</t>
    </rPh>
    <rPh sb="2" eb="3">
      <t>マイ</t>
    </rPh>
    <phoneticPr fontId="1"/>
  </si>
  <si>
    <t>キーワード</t>
    <phoneticPr fontId="1"/>
  </si>
  <si>
    <t>アクション</t>
    <phoneticPr fontId="1"/>
  </si>
  <si>
    <t>ヒット</t>
    <phoneticPr fontId="1"/>
  </si>
  <si>
    <t>ヒット</t>
    <phoneticPr fontId="1"/>
  </si>
  <si>
    <t>一日毎</t>
    <rPh sb="0" eb="2">
      <t>イチニチ</t>
    </rPh>
    <rPh sb="2" eb="3">
      <t>ゴト</t>
    </rPh>
    <phoneticPr fontId="1"/>
  </si>
  <si>
    <t>トリガー</t>
    <phoneticPr fontId="1"/>
  </si>
  <si>
    <t>マイナー・アクション</t>
    <phoneticPr fontId="1"/>
  </si>
  <si>
    <t>Lv</t>
    <phoneticPr fontId="1"/>
  </si>
  <si>
    <t>心衣用アーデント能力値</t>
    <rPh sb="0" eb="1">
      <t>ココロ</t>
    </rPh>
    <rPh sb="1" eb="2">
      <t>コロモ</t>
    </rPh>
    <rPh sb="2" eb="3">
      <t>ヨウ</t>
    </rPh>
    <rPh sb="8" eb="10">
      <t>ノウリョク</t>
    </rPh>
    <rPh sb="10" eb="11">
      <t>チ</t>
    </rPh>
    <phoneticPr fontId="1"/>
  </si>
  <si>
    <t>イーライ</t>
    <phoneticPr fontId="1"/>
  </si>
  <si>
    <t>アシッド・オーブ</t>
    <phoneticPr fontId="1"/>
  </si>
  <si>
    <t>ソーサラー/攻撃/１　(PHⅡ104)</t>
    <rPh sb="6" eb="8">
      <t>コウゲキ</t>
    </rPh>
    <phoneticPr fontId="1"/>
  </si>
  <si>
    <t>秘術パワー</t>
  </si>
  <si>
    <t>単純</t>
    <rPh sb="0" eb="2">
      <t>タンジュン</t>
    </rPh>
    <phoneticPr fontId="1"/>
  </si>
  <si>
    <t>秘術パワー</t>
    <phoneticPr fontId="1"/>
  </si>
  <si>
    <t>遠隔基礎</t>
  </si>
  <si>
    <t>一次攻撃</t>
    <rPh sb="0" eb="2">
      <t>イチジ</t>
    </rPh>
    <rPh sb="2" eb="4">
      <t>コウゲキ</t>
    </rPh>
    <phoneticPr fontId="1"/>
  </si>
  <si>
    <t>一次目標</t>
    <rPh sb="0" eb="2">
      <t>イチジ</t>
    </rPh>
    <rPh sb="2" eb="4">
      <t>モクヒョウ</t>
    </rPh>
    <phoneticPr fontId="1"/>
  </si>
  <si>
    <t>　　自分のTの度に、そのTに行う最初の攻撃Rがそのラウンドに君が得る利益を決定する。</t>
    <rPh sb="2" eb="4">
      <t>ジブン</t>
    </rPh>
    <rPh sb="7" eb="8">
      <t>タビ</t>
    </rPh>
    <rPh sb="14" eb="15">
      <t>オコナ</t>
    </rPh>
    <rPh sb="16" eb="18">
      <t>サイショ</t>
    </rPh>
    <rPh sb="19" eb="21">
      <t>コウゲキ</t>
    </rPh>
    <rPh sb="30" eb="31">
      <t>キミ</t>
    </rPh>
    <rPh sb="32" eb="33">
      <t>エ</t>
    </rPh>
    <rPh sb="34" eb="36">
      <t>リエキ</t>
    </rPh>
    <rPh sb="37" eb="39">
      <t>ケッテイ</t>
    </rPh>
    <phoneticPr fontId="1"/>
  </si>
  <si>
    <t>　　　偶数：次T開始時までＡＣに＋１のボーナスを得る</t>
    <rPh sb="3" eb="5">
      <t>グウスウ</t>
    </rPh>
    <rPh sb="6" eb="7">
      <t>ジ</t>
    </rPh>
    <rPh sb="8" eb="10">
      <t>カイシ</t>
    </rPh>
    <rPh sb="10" eb="11">
      <t>ジ</t>
    </rPh>
    <rPh sb="24" eb="25">
      <t>エ</t>
    </rPh>
    <phoneticPr fontId="1"/>
  </si>
  <si>
    <t>　　　奇数：ＳＴを１回行う</t>
    <rPh sb="3" eb="5">
      <t>キスウ</t>
    </rPh>
    <rPh sb="10" eb="11">
      <t>カイ</t>
    </rPh>
    <rPh sb="11" eb="12">
      <t>オコナ</t>
    </rPh>
    <phoneticPr fontId="1"/>
  </si>
  <si>
    <t>　　効果を適用した後で、その目標を１マス横滑りさせ、倒して伏せ状態にする。</t>
    <rPh sb="2" eb="4">
      <t>コウカ</t>
    </rPh>
    <rPh sb="5" eb="7">
      <t>テキヨウ</t>
    </rPh>
    <rPh sb="9" eb="10">
      <t>アト</t>
    </rPh>
    <rPh sb="14" eb="16">
      <t>モクヒョウ</t>
    </rPh>
    <rPh sb="20" eb="22">
      <t>ヨコスベ</t>
    </rPh>
    <rPh sb="26" eb="27">
      <t>タオ</t>
    </rPh>
    <rPh sb="29" eb="30">
      <t>フ</t>
    </rPh>
    <rPh sb="31" eb="33">
      <t>ジョウタイ</t>
    </rPh>
    <phoneticPr fontId="1"/>
  </si>
  <si>
    <t>　　すべてのクリーチャーを１マス押しやらなければならない。</t>
    <rPh sb="16" eb="17">
      <t>オ</t>
    </rPh>
    <phoneticPr fontId="1"/>
  </si>
  <si>
    <t>範囲内のすべてのクリーチャー</t>
    <rPh sb="0" eb="3">
      <t>ハンイナイ</t>
    </rPh>
    <phoneticPr fontId="1"/>
  </si>
  <si>
    <t>サンダー・ボム</t>
    <phoneticPr fontId="1"/>
  </si>
  <si>
    <t>ソーサラー/攻撃/７　(秘術64)</t>
    <rPh sb="6" eb="8">
      <t>コウゲキ</t>
    </rPh>
    <rPh sb="12" eb="14">
      <t>ヒジュツ</t>
    </rPh>
    <phoneticPr fontId="1"/>
  </si>
  <si>
    <t>[遭遇毎]◆［装具］［秘術］[雷鳴]</t>
    <rPh sb="1" eb="3">
      <t>ソウグウ</t>
    </rPh>
    <rPh sb="3" eb="4">
      <t>マイ</t>
    </rPh>
    <rPh sb="11" eb="13">
      <t>ヒジュツ</t>
    </rPh>
    <rPh sb="15" eb="17">
      <t>ライメイ</t>
    </rPh>
    <phoneticPr fontId="1"/>
  </si>
  <si>
    <r>
      <t>目標は</t>
    </r>
    <r>
      <rPr>
        <b/>
        <sz val="11"/>
        <color rgb="FFFF0000"/>
        <rFont val="ＭＳ Ｐゴシック"/>
        <family val="3"/>
        <charset val="128"/>
        <scheme val="minor"/>
      </rPr>
      <t>次T終</t>
    </r>
    <r>
      <rPr>
        <sz val="11"/>
        <rFont val="ＭＳ Ｐゴシック"/>
        <family val="3"/>
        <charset val="128"/>
        <scheme val="minor"/>
      </rPr>
      <t>まで</t>
    </r>
    <r>
      <rPr>
        <b/>
        <sz val="11"/>
        <color rgb="FFFF0000"/>
        <rFont val="ＭＳ Ｐゴシック"/>
        <family val="3"/>
        <charset val="128"/>
        <scheme val="minor"/>
      </rPr>
      <t>減速状態</t>
    </r>
    <r>
      <rPr>
        <sz val="11"/>
        <rFont val="ＭＳ Ｐゴシック"/>
        <family val="3"/>
        <charset val="128"/>
        <scheme val="minor"/>
      </rPr>
      <t>となる。</t>
    </r>
    <rPh sb="0" eb="2">
      <t>モクヒョウ</t>
    </rPh>
    <rPh sb="3" eb="4">
      <t>ジ</t>
    </rPh>
    <rPh sb="5" eb="6">
      <t>シュウ</t>
    </rPh>
    <rPh sb="8" eb="10">
      <t>ゲンソク</t>
    </rPh>
    <rPh sb="10" eb="12">
      <t>ジョウタイ</t>
    </rPh>
    <phoneticPr fontId="1"/>
  </si>
  <si>
    <r>
      <t>目標が</t>
    </r>
    <r>
      <rPr>
        <b/>
        <sz val="11"/>
        <color rgb="FFFF0000"/>
        <rFont val="ＭＳ Ｐゴシック"/>
        <family val="3"/>
        <charset val="128"/>
        <scheme val="minor"/>
      </rPr>
      <t>爆発の起点マス</t>
    </r>
    <r>
      <rPr>
        <sz val="11"/>
        <rFont val="ＭＳ Ｐゴシック"/>
        <family val="3"/>
        <charset val="128"/>
        <scheme val="minor"/>
      </rPr>
      <t>にいるならば、減速状態の代りに</t>
    </r>
    <r>
      <rPr>
        <b/>
        <sz val="11"/>
        <color rgb="FFFF0000"/>
        <rFont val="ＭＳ Ｐゴシック"/>
        <family val="3"/>
        <charset val="128"/>
        <scheme val="minor"/>
      </rPr>
      <t>次T終</t>
    </r>
    <r>
      <rPr>
        <sz val="11"/>
        <rFont val="ＭＳ Ｐゴシック"/>
        <family val="3"/>
        <charset val="128"/>
        <scheme val="minor"/>
      </rPr>
      <t>まで</t>
    </r>
    <r>
      <rPr>
        <b/>
        <sz val="11"/>
        <color rgb="FFFF0000"/>
        <rFont val="ＭＳ Ｐゴシック"/>
        <family val="3"/>
        <charset val="128"/>
        <scheme val="minor"/>
      </rPr>
      <t>動けない状態</t>
    </r>
    <r>
      <rPr>
        <sz val="11"/>
        <rFont val="ＭＳ Ｐゴシック"/>
        <family val="3"/>
        <charset val="128"/>
        <scheme val="minor"/>
      </rPr>
      <t>となる。</t>
    </r>
    <rPh sb="0" eb="2">
      <t>モクヒョウ</t>
    </rPh>
    <rPh sb="3" eb="5">
      <t>バクハツ</t>
    </rPh>
    <rPh sb="6" eb="8">
      <t>キテン</t>
    </rPh>
    <rPh sb="17" eb="19">
      <t>ゲンソク</t>
    </rPh>
    <rPh sb="19" eb="21">
      <t>ジョウタイ</t>
    </rPh>
    <rPh sb="22" eb="23">
      <t>カワ</t>
    </rPh>
    <rPh sb="30" eb="31">
      <t>ウゴ</t>
    </rPh>
    <phoneticPr fontId="1"/>
  </si>
  <si>
    <t>維持・マイナー</t>
    <rPh sb="0" eb="2">
      <t>イジ</t>
    </rPh>
    <phoneticPr fontId="1"/>
  </si>
  <si>
    <t>この区域が持続する。</t>
    <rPh sb="2" eb="4">
      <t>クイキ</t>
    </rPh>
    <rPh sb="5" eb="7">
      <t>ジゾク</t>
    </rPh>
    <phoneticPr fontId="1"/>
  </si>
  <si>
    <t>種族パワー</t>
    <rPh sb="0" eb="2">
      <t>シュゾク</t>
    </rPh>
    <phoneticPr fontId="1"/>
  </si>
  <si>
    <t>ハーフリング／種族パワー／　（ＰＨB46）</t>
    <rPh sb="7" eb="9">
      <t>シュゾク</t>
    </rPh>
    <phoneticPr fontId="1"/>
  </si>
  <si>
    <t>即応・割込</t>
    <rPh sb="0" eb="2">
      <t>ソクオウ</t>
    </rPh>
    <rPh sb="3" eb="5">
      <t>ワリコ</t>
    </rPh>
    <phoneticPr fontId="1"/>
  </si>
  <si>
    <t>トリガー</t>
    <phoneticPr fontId="1"/>
  </si>
  <si>
    <r>
      <rPr>
        <b/>
        <sz val="11"/>
        <color rgb="FFFF0000"/>
        <rFont val="ＭＳ Ｐゴシック"/>
        <family val="3"/>
        <charset val="128"/>
        <scheme val="minor"/>
      </rPr>
      <t>使用者に対する</t>
    </r>
    <r>
      <rPr>
        <sz val="11"/>
        <color theme="1"/>
        <rFont val="ＭＳ Ｐゴシック"/>
        <family val="2"/>
        <charset val="128"/>
        <scheme val="minor"/>
      </rPr>
      <t>１回の</t>
    </r>
    <r>
      <rPr>
        <b/>
        <sz val="11"/>
        <color rgb="FFFF0000"/>
        <rFont val="ＭＳ Ｐゴシック"/>
        <family val="3"/>
        <charset val="128"/>
        <scheme val="minor"/>
      </rPr>
      <t>攻撃がヒット</t>
    </r>
    <r>
      <rPr>
        <sz val="11"/>
        <color theme="1"/>
        <rFont val="ＭＳ Ｐゴシック"/>
        <family val="2"/>
        <charset val="128"/>
        <scheme val="minor"/>
      </rPr>
      <t>する。</t>
    </r>
    <rPh sb="0" eb="3">
      <t>シヨウシャ</t>
    </rPh>
    <rPh sb="4" eb="5">
      <t>タイ</t>
    </rPh>
    <rPh sb="8" eb="9">
      <t>カイ</t>
    </rPh>
    <rPh sb="10" eb="12">
      <t>コウゲキ</t>
    </rPh>
    <phoneticPr fontId="1"/>
  </si>
  <si>
    <r>
      <t>敵のその攻撃ロールを</t>
    </r>
    <r>
      <rPr>
        <b/>
        <sz val="11"/>
        <color rgb="FFFF0000"/>
        <rFont val="ＭＳ Ｐゴシック"/>
        <family val="3"/>
        <charset val="128"/>
        <scheme val="minor"/>
      </rPr>
      <t>再ロール</t>
    </r>
    <r>
      <rPr>
        <sz val="11"/>
        <color theme="1"/>
        <rFont val="ＭＳ Ｐゴシック"/>
        <family val="2"/>
        <charset val="128"/>
        <scheme val="minor"/>
      </rPr>
      <t>させる。</t>
    </r>
    <rPh sb="0" eb="1">
      <t>テキ</t>
    </rPh>
    <rPh sb="4" eb="6">
      <t>コウゲキ</t>
    </rPh>
    <rPh sb="10" eb="11">
      <t>サイ</t>
    </rPh>
    <phoneticPr fontId="1"/>
  </si>
  <si>
    <t>再ロールの出目の方が低かったとしても、敵は再ロールの結果を用いなければならない。</t>
    <rPh sb="0" eb="1">
      <t>サイ</t>
    </rPh>
    <rPh sb="5" eb="7">
      <t>デメ</t>
    </rPh>
    <rPh sb="8" eb="9">
      <t>ホウ</t>
    </rPh>
    <rPh sb="10" eb="11">
      <t>ヒク</t>
    </rPh>
    <rPh sb="19" eb="20">
      <t>テキ</t>
    </rPh>
    <rPh sb="21" eb="22">
      <t>サイ</t>
    </rPh>
    <rPh sb="26" eb="28">
      <t>ケッカ</t>
    </rPh>
    <rPh sb="29" eb="30">
      <t>モチ</t>
    </rPh>
    <phoneticPr fontId="1"/>
  </si>
  <si>
    <t>[遭遇毎]</t>
    <phoneticPr fontId="1"/>
  </si>
  <si>
    <t>ソーサラー／汎用／２　（秘62）</t>
    <rPh sb="6" eb="8">
      <t>ハンヨウ</t>
    </rPh>
    <rPh sb="12" eb="13">
      <t>ヒ</t>
    </rPh>
    <phoneticPr fontId="1"/>
  </si>
  <si>
    <t>[一日毎]◆[秘術]</t>
    <rPh sb="1" eb="3">
      <t>イチニチ</t>
    </rPh>
    <rPh sb="3" eb="4">
      <t>ゴト</t>
    </rPh>
    <rPh sb="7" eb="9">
      <t>ヒジュツ</t>
    </rPh>
    <phoneticPr fontId="1"/>
  </si>
  <si>
    <r>
      <t>このパワーは</t>
    </r>
    <r>
      <rPr>
        <b/>
        <sz val="11"/>
        <color rgb="FFFF0000"/>
        <rFont val="ＭＳ Ｐゴシック"/>
        <family val="3"/>
        <charset val="128"/>
        <scheme val="minor"/>
      </rPr>
      <t>遠隔基礎攻撃</t>
    </r>
    <r>
      <rPr>
        <sz val="11"/>
        <rFont val="ＭＳ Ｐゴシック"/>
        <family val="3"/>
        <charset val="128"/>
        <scheme val="minor"/>
      </rPr>
      <t>として扱う事ができる</t>
    </r>
    <rPh sb="6" eb="8">
      <t>エンカク</t>
    </rPh>
    <rPh sb="8" eb="10">
      <t>キソ</t>
    </rPh>
    <rPh sb="10" eb="12">
      <t>コウゲキ</t>
    </rPh>
    <rPh sb="15" eb="16">
      <t>アツカ</t>
    </rPh>
    <rPh sb="17" eb="18">
      <t>コト</t>
    </rPh>
    <phoneticPr fontId="1"/>
  </si>
  <si>
    <r>
      <rPr>
        <b/>
        <sz val="14"/>
        <color rgb="FFFF0000"/>
        <rFont val="HGP創英角ﾎﾟｯﾌﾟ体"/>
        <family val="3"/>
        <charset val="128"/>
      </rPr>
      <t>警告！　　</t>
    </r>
    <r>
      <rPr>
        <b/>
        <sz val="14"/>
        <color rgb="FF00B0F0"/>
        <rFont val="ＭＳ Ｐゴシック"/>
        <family val="3"/>
        <charset val="128"/>
        <scheme val="minor"/>
      </rPr>
      <t>他の</t>
    </r>
    <r>
      <rPr>
        <b/>
        <sz val="18"/>
        <color rgb="FF00B0F0"/>
        <rFont val="ＭＳ Ｐゴシック"/>
        <family val="3"/>
        <charset val="128"/>
        <scheme val="minor"/>
      </rPr>
      <t>即応パワー</t>
    </r>
    <r>
      <rPr>
        <b/>
        <sz val="14"/>
        <color rgb="FF00B0F0"/>
        <rFont val="ＭＳ Ｐゴシック"/>
        <family val="3"/>
        <charset val="128"/>
        <scheme val="minor"/>
      </rPr>
      <t>や</t>
    </r>
    <r>
      <rPr>
        <b/>
        <sz val="18"/>
        <color rgb="FF00B0F0"/>
        <rFont val="ＭＳ Ｐゴシック"/>
        <family val="3"/>
        <charset val="128"/>
        <scheme val="minor"/>
      </rPr>
      <t>待機</t>
    </r>
    <r>
      <rPr>
        <b/>
        <sz val="14"/>
        <color rgb="FF00B0F0"/>
        <rFont val="ＭＳ Ｐゴシック"/>
        <family val="3"/>
        <charset val="128"/>
        <scheme val="minor"/>
      </rPr>
      <t>と全く両立できず。</t>
    </r>
    <rPh sb="0" eb="2">
      <t>ケイコク</t>
    </rPh>
    <rPh sb="5" eb="6">
      <t>ホカ</t>
    </rPh>
    <rPh sb="7" eb="9">
      <t>ソクオウ</t>
    </rPh>
    <rPh sb="13" eb="15">
      <t>タイキ</t>
    </rPh>
    <rPh sb="16" eb="17">
      <t>マッタ</t>
    </rPh>
    <rPh sb="18" eb="20">
      <t>リョウリツ</t>
    </rPh>
    <phoneticPr fontId="1"/>
  </si>
  <si>
    <t>自分のターンの機会攻撃に対してウッカリ宣言するな(笑)！</t>
    <rPh sb="0" eb="2">
      <t>ジブン</t>
    </rPh>
    <rPh sb="7" eb="9">
      <t>キカイ</t>
    </rPh>
    <rPh sb="9" eb="11">
      <t>コウゲキ</t>
    </rPh>
    <rPh sb="12" eb="13">
      <t>タイ</t>
    </rPh>
    <rPh sb="19" eb="21">
      <t>センゲン</t>
    </rPh>
    <rPh sb="25" eb="26">
      <t>ワライ</t>
    </rPh>
    <phoneticPr fontId="1"/>
  </si>
  <si>
    <t>①敵の攻撃がヒットした時、使う　(当たり前)</t>
    <rPh sb="1" eb="2">
      <t>テキ</t>
    </rPh>
    <rPh sb="3" eb="5">
      <t>コウゲキ</t>
    </rPh>
    <rPh sb="11" eb="12">
      <t>トキ</t>
    </rPh>
    <rPh sb="13" eb="14">
      <t>ツカ</t>
    </rPh>
    <rPh sb="17" eb="18">
      <t>ア</t>
    </rPh>
    <rPh sb="20" eb="21">
      <t>マエ</t>
    </rPh>
    <phoneticPr fontId="1"/>
  </si>
  <si>
    <r>
      <t>②</t>
    </r>
    <r>
      <rPr>
        <b/>
        <sz val="11"/>
        <color rgb="FFFF0000"/>
        <rFont val="ＭＳ Ｐゴシック"/>
        <family val="3"/>
        <charset val="128"/>
        <scheme val="minor"/>
      </rPr>
      <t>クリティカルヒット</t>
    </r>
    <r>
      <rPr>
        <sz val="11"/>
        <color theme="1"/>
        <rFont val="ＭＳ Ｐゴシック"/>
        <family val="2"/>
        <charset val="128"/>
        <scheme val="minor"/>
      </rPr>
      <t>を喰らった時、迷わず使う！</t>
    </r>
    <rPh sb="11" eb="12">
      <t>ク</t>
    </rPh>
    <rPh sb="15" eb="16">
      <t>トキ</t>
    </rPh>
    <rPh sb="17" eb="18">
      <t>マヨ</t>
    </rPh>
    <rPh sb="20" eb="21">
      <t>ツカ</t>
    </rPh>
    <phoneticPr fontId="1"/>
  </si>
  <si>
    <t>使える時に出し惜しみ無し、以上。</t>
    <rPh sb="0" eb="1">
      <t>ツカ</t>
    </rPh>
    <rPh sb="3" eb="4">
      <t>トキ</t>
    </rPh>
    <rPh sb="5" eb="6">
      <t>ダ</t>
    </rPh>
    <rPh sb="7" eb="8">
      <t>オ</t>
    </rPh>
    <rPh sb="10" eb="11">
      <t>ナ</t>
    </rPh>
    <rPh sb="13" eb="15">
      <t>イジョウ</t>
    </rPh>
    <phoneticPr fontId="1"/>
  </si>
  <si>
    <t>ソーサラー/攻撃/９　(秘術66)</t>
    <rPh sb="6" eb="8">
      <t>コウゲキ</t>
    </rPh>
    <rPh sb="12" eb="14">
      <t>ヒジュツ</t>
    </rPh>
    <phoneticPr fontId="1"/>
  </si>
  <si>
    <t>[一日毎]◆［区域］［装具］［秘術］［雷鳴］</t>
    <rPh sb="1" eb="3">
      <t>イチニチ</t>
    </rPh>
    <rPh sb="3" eb="4">
      <t>ゴト</t>
    </rPh>
    <rPh sb="7" eb="9">
      <t>クイキ</t>
    </rPh>
    <rPh sb="15" eb="17">
      <t>ヒジュツ</t>
    </rPh>
    <rPh sb="19" eb="21">
      <t>ライメイ</t>
    </rPh>
    <phoneticPr fontId="1"/>
  </si>
  <si>
    <t>使用者は目標を使用者の【敏】に等しいマスだけ横滑りさせる。</t>
    <rPh sb="0" eb="2">
      <t>シヨウ</t>
    </rPh>
    <rPh sb="2" eb="3">
      <t>シャ</t>
    </rPh>
    <rPh sb="4" eb="6">
      <t>モクヒョウ</t>
    </rPh>
    <rPh sb="7" eb="9">
      <t>シヨウ</t>
    </rPh>
    <rPh sb="9" eb="10">
      <t>シャ</t>
    </rPh>
    <rPh sb="12" eb="13">
      <t>トシ</t>
    </rPh>
    <rPh sb="15" eb="16">
      <t>ヒト</t>
    </rPh>
    <rPh sb="22" eb="24">
      <t>ヨコスベ</t>
    </rPh>
    <phoneticPr fontId="1"/>
  </si>
  <si>
    <t>爆発の範囲内は使用者の次のターンの終了時まで、渦巻く風の区域となる。</t>
    <rPh sb="0" eb="2">
      <t>バクハツ</t>
    </rPh>
    <rPh sb="3" eb="6">
      <t>ハンイナイ</t>
    </rPh>
    <rPh sb="7" eb="9">
      <t>シヨウ</t>
    </rPh>
    <rPh sb="9" eb="10">
      <t>シャ</t>
    </rPh>
    <rPh sb="11" eb="12">
      <t>ジ</t>
    </rPh>
    <rPh sb="17" eb="20">
      <t>シュウリョウジ</t>
    </rPh>
    <rPh sb="23" eb="25">
      <t>ウズマ</t>
    </rPh>
    <rPh sb="26" eb="27">
      <t>カゼ</t>
    </rPh>
    <rPh sb="28" eb="30">
      <t>クイキ</t>
    </rPh>
    <phoneticPr fontId="1"/>
  </si>
  <si>
    <r>
      <t>使用者は1回の</t>
    </r>
    <r>
      <rPr>
        <b/>
        <sz val="11"/>
        <color rgb="FFFF0000"/>
        <rFont val="ＭＳ Ｐゴシック"/>
        <family val="3"/>
        <charset val="128"/>
        <scheme val="minor"/>
      </rPr>
      <t>移動アクション</t>
    </r>
    <r>
      <rPr>
        <sz val="11"/>
        <rFont val="ＭＳ Ｐゴシック"/>
        <family val="3"/>
        <charset val="128"/>
        <scheme val="minor"/>
      </rPr>
      <t>としてこの区域を</t>
    </r>
    <r>
      <rPr>
        <b/>
        <sz val="11"/>
        <color rgb="FFFF0000"/>
        <rFont val="ＭＳ Ｐゴシック"/>
        <family val="3"/>
        <charset val="128"/>
        <scheme val="minor"/>
      </rPr>
      <t>６マス移動</t>
    </r>
    <r>
      <rPr>
        <sz val="11"/>
        <rFont val="ＭＳ Ｐゴシック"/>
        <family val="3"/>
        <charset val="128"/>
        <scheme val="minor"/>
      </rPr>
      <t>させる事ができる。</t>
    </r>
    <rPh sb="0" eb="3">
      <t>シヨウシャ</t>
    </rPh>
    <rPh sb="5" eb="6">
      <t>カイ</t>
    </rPh>
    <rPh sb="7" eb="9">
      <t>イドウ</t>
    </rPh>
    <rPh sb="19" eb="21">
      <t>クイキ</t>
    </rPh>
    <rPh sb="25" eb="27">
      <t>イドウ</t>
    </rPh>
    <rPh sb="30" eb="31">
      <t>コト</t>
    </rPh>
    <phoneticPr fontId="1"/>
  </si>
  <si>
    <r>
      <t>用者は、この</t>
    </r>
    <r>
      <rPr>
        <b/>
        <sz val="11"/>
        <color rgb="FFFF0000"/>
        <rFont val="ＭＳ Ｐゴシック"/>
        <family val="3"/>
        <charset val="128"/>
        <scheme val="minor"/>
      </rPr>
      <t>区域内で自分のターンを開始したすべてのクリーチャー</t>
    </r>
    <r>
      <rPr>
        <sz val="11"/>
        <rFont val="ＭＳ Ｐゴシック"/>
        <family val="3"/>
        <charset val="128"/>
        <scheme val="minor"/>
      </rPr>
      <t>を、</t>
    </r>
    <rPh sb="0" eb="1">
      <t>ヨウ</t>
    </rPh>
    <rPh sb="1" eb="2">
      <t>シャ</t>
    </rPh>
    <rPh sb="6" eb="9">
      <t>クイキナイ</t>
    </rPh>
    <rPh sb="10" eb="12">
      <t>ジブン</t>
    </rPh>
    <rPh sb="17" eb="19">
      <t>カイシ</t>
    </rPh>
    <phoneticPr fontId="1"/>
  </si>
  <si>
    <t>【魅】対"反応"</t>
    <rPh sb="1" eb="2">
      <t>ミ</t>
    </rPh>
    <rPh sb="3" eb="4">
      <t>タイ</t>
    </rPh>
    <rPh sb="5" eb="7">
      <t>ハンノウ</t>
    </rPh>
    <phoneticPr fontId="1"/>
  </si>
  <si>
    <t>(１ｄ10＋【魅】)の[酸]ダメージ</t>
    <rPh sb="7" eb="8">
      <t>ミ</t>
    </rPh>
    <rPh sb="12" eb="13">
      <t>サン</t>
    </rPh>
    <phoneticPr fontId="1"/>
  </si>
  <si>
    <t>Lv21：(２ｄ10＋【魅】)の[酸]ダメージ</t>
    <phoneticPr fontId="1"/>
  </si>
  <si>
    <t>【魅】対"反応"</t>
    <rPh sb="3" eb="4">
      <t>タイ</t>
    </rPh>
    <rPh sb="5" eb="7">
      <t>ハンノウ</t>
    </rPh>
    <phoneticPr fontId="1"/>
  </si>
  <si>
    <t>【魅】対"頑健"</t>
    <rPh sb="3" eb="4">
      <t>タイ</t>
    </rPh>
    <rPh sb="5" eb="7">
      <t>ガンケン</t>
    </rPh>
    <phoneticPr fontId="1"/>
  </si>
  <si>
    <t>(３ｄ８＋【魅】)の[雷鳴]ダメージ</t>
    <rPh sb="11" eb="13">
      <t>ライメイ</t>
    </rPh>
    <phoneticPr fontId="1"/>
  </si>
  <si>
    <t>【魅】対"反応"</t>
    <rPh sb="5" eb="7">
      <t>ハンノウ</t>
    </rPh>
    <phoneticPr fontId="1"/>
  </si>
  <si>
    <t>秘術遠隔基礎１</t>
    <rPh sb="0" eb="2">
      <t>ヒジュツ</t>
    </rPh>
    <rPh sb="2" eb="4">
      <t>エンカク</t>
    </rPh>
    <rPh sb="4" eb="6">
      <t>キソ</t>
    </rPh>
    <phoneticPr fontId="1"/>
  </si>
  <si>
    <t>秘術遠隔基礎１</t>
    <phoneticPr fontId="1"/>
  </si>
  <si>
    <t>先手を取って減速にするメリットとは？</t>
    <rPh sb="0" eb="2">
      <t>センテ</t>
    </rPh>
    <rPh sb="3" eb="4">
      <t>ト</t>
    </rPh>
    <rPh sb="6" eb="8">
      <t>ゲンソク</t>
    </rPh>
    <phoneticPr fontId="1"/>
  </si>
  <si>
    <t>敵の間合いの遥か彼方から減速にすれば、ハメ技になり得る！</t>
    <rPh sb="0" eb="1">
      <t>テキ</t>
    </rPh>
    <rPh sb="2" eb="4">
      <t>マア</t>
    </rPh>
    <rPh sb="6" eb="7">
      <t>ハル</t>
    </rPh>
    <rPh sb="8" eb="10">
      <t>カナタ</t>
    </rPh>
    <rPh sb="12" eb="14">
      <t>ゲンソク</t>
    </rPh>
    <rPh sb="21" eb="22">
      <t>ワザ</t>
    </rPh>
    <rPh sb="25" eb="26">
      <t>ウ</t>
    </rPh>
    <phoneticPr fontId="1"/>
  </si>
  <si>
    <t>減速よりも不動の方がより効果的であるのは言うまでも無い・・・。</t>
    <rPh sb="0" eb="2">
      <t>ゲンソク</t>
    </rPh>
    <rPh sb="5" eb="7">
      <t>フドウ</t>
    </rPh>
    <rPh sb="8" eb="9">
      <t>ホウ</t>
    </rPh>
    <rPh sb="12" eb="15">
      <t>コウカテキ</t>
    </rPh>
    <rPh sb="20" eb="21">
      <t>イ</t>
    </rPh>
    <rPh sb="25" eb="26">
      <t>ナ</t>
    </rPh>
    <phoneticPr fontId="1"/>
  </si>
  <si>
    <t>クリティカル</t>
    <phoneticPr fontId="1"/>
  </si>
  <si>
    <t>インサイシヴ・ダガー＋3 Lv14</t>
    <phoneticPr fontId="1"/>
  </si>
  <si>
    <t>　　特性：使用者が[瞬間移動]のパワーを使用する際、瞬間移動可能な距離が</t>
    <rPh sb="2" eb="4">
      <t>トクセイ</t>
    </rPh>
    <rPh sb="5" eb="8">
      <t>シヨウシャ</t>
    </rPh>
    <rPh sb="10" eb="12">
      <t>シュンカン</t>
    </rPh>
    <rPh sb="12" eb="14">
      <t>イドウ</t>
    </rPh>
    <rPh sb="20" eb="22">
      <t>シヨウ</t>
    </rPh>
    <rPh sb="24" eb="25">
      <t>サイ</t>
    </rPh>
    <rPh sb="26" eb="28">
      <t>シュンカン</t>
    </rPh>
    <rPh sb="28" eb="30">
      <t>イドウ</t>
    </rPh>
    <rPh sb="30" eb="32">
      <t>カノウ</t>
    </rPh>
    <rPh sb="33" eb="35">
      <t>キョリ</t>
    </rPh>
    <phoneticPr fontId="1"/>
  </si>
  <si>
    <t>※インサイシヴ・ダガー＋３ Ｌｖ14(宝Ⅱ15)</t>
    <rPh sb="19" eb="20">
      <t>タカラ</t>
    </rPh>
    <phoneticPr fontId="1"/>
  </si>
  <si>
    <t>　　　このダガーの強化Ｂに等しいマスだけ増加する。</t>
    <rPh sb="9" eb="11">
      <t>キョウカ</t>
    </rPh>
    <rPh sb="13" eb="14">
      <t>ヒト</t>
    </rPh>
    <rPh sb="20" eb="22">
      <t>ゾウカ</t>
    </rPh>
    <phoneticPr fontId="1"/>
  </si>
  <si>
    <t>ダメージ</t>
    <phoneticPr fontId="1"/>
  </si>
  <si>
    <t>武器パワー情報</t>
    <rPh sb="0" eb="2">
      <t>ブキ</t>
    </rPh>
    <rPh sb="5" eb="7">
      <t>ジョウホウ</t>
    </rPh>
    <phoneticPr fontId="1"/>
  </si>
  <si>
    <t>↓基本値</t>
    <rPh sb="1" eb="3">
      <t>キホン</t>
    </rPh>
    <rPh sb="3" eb="4">
      <t>チ</t>
    </rPh>
    <phoneticPr fontId="1"/>
  </si>
  <si>
    <t>d</t>
    <phoneticPr fontId="1"/>
  </si>
  <si>
    <t>２次</t>
    <rPh sb="1" eb="2">
      <t>ジ</t>
    </rPh>
    <phoneticPr fontId="1"/>
  </si>
  <si>
    <t>d</t>
    <phoneticPr fontId="1"/>
  </si>
  <si>
    <t>d</t>
    <phoneticPr fontId="1"/>
  </si>
  <si>
    <t>d</t>
    <phoneticPr fontId="1"/>
  </si>
  <si>
    <t>d</t>
    <phoneticPr fontId="1"/>
  </si>
  <si>
    <t>d</t>
    <phoneticPr fontId="1"/>
  </si>
  <si>
    <t>装具・クラス特徴・汎用パワー情報</t>
    <rPh sb="0" eb="2">
      <t>ソウグ</t>
    </rPh>
    <rPh sb="6" eb="8">
      <t>トクチョウ</t>
    </rPh>
    <rPh sb="9" eb="11">
      <t>ハンヨウ</t>
    </rPh>
    <rPh sb="14" eb="16">
      <t>ジョウホウ</t>
    </rPh>
    <phoneticPr fontId="1"/>
  </si>
  <si>
    <t>ダメージダイス数</t>
    <phoneticPr fontId="1"/>
  </si>
  <si>
    <t>ソーサラー/攻撃/１　(PHⅡ105)</t>
    <rPh sb="6" eb="8">
      <t>コウゲキ</t>
    </rPh>
    <phoneticPr fontId="1"/>
  </si>
  <si>
    <t>[無限回]◆［装具］［秘術］[冷気]</t>
    <rPh sb="1" eb="3">
      <t>ムゲン</t>
    </rPh>
    <rPh sb="3" eb="4">
      <t>カイ</t>
    </rPh>
    <rPh sb="11" eb="13">
      <t>ヒジュツ</t>
    </rPh>
    <phoneticPr fontId="1"/>
  </si>
  <si>
    <t>【魅】対"頑健"</t>
    <rPh sb="1" eb="2">
      <t>ミ</t>
    </rPh>
    <rPh sb="3" eb="4">
      <t>タイ</t>
    </rPh>
    <rPh sb="5" eb="7">
      <t>ガンケン</t>
    </rPh>
    <phoneticPr fontId="1"/>
  </si>
  <si>
    <t>(１ｄ８＋【魅】)の[冷気]ダメージ</t>
    <rPh sb="6" eb="7">
      <t>ミ</t>
    </rPh>
    <rPh sb="11" eb="13">
      <t>レイキ</t>
    </rPh>
    <phoneticPr fontId="1"/>
  </si>
  <si>
    <t>Lv21：(２ｄ８＋【魅】)の[冷気]ダメージ</t>
    <rPh sb="16" eb="18">
      <t>レイキ</t>
    </rPh>
    <phoneticPr fontId="1"/>
  </si>
  <si>
    <t>特種</t>
    <rPh sb="0" eb="2">
      <t>トクシュ</t>
    </rPh>
    <phoneticPr fontId="29"/>
  </si>
  <si>
    <r>
      <t>このパワーは</t>
    </r>
    <r>
      <rPr>
        <b/>
        <sz val="11"/>
        <color indexed="10"/>
        <rFont val="ＭＳ Ｐゴシック"/>
        <family val="3"/>
        <charset val="128"/>
      </rPr>
      <t>遠隔基礎攻撃</t>
    </r>
    <r>
      <rPr>
        <sz val="11"/>
        <color theme="1"/>
        <rFont val="ＭＳ Ｐゴシック"/>
        <family val="3"/>
        <charset val="128"/>
        <scheme val="minor"/>
      </rPr>
      <t>として扱うことができる</t>
    </r>
  </si>
  <si>
    <t>秘術遠隔基礎１</t>
  </si>
  <si>
    <t>　　装具を用いた攻撃パワーが目標を押しやる、引き寄せる、横滑りさせる時、</t>
    <rPh sb="2" eb="4">
      <t>ソウグ</t>
    </rPh>
    <rPh sb="5" eb="6">
      <t>モチ</t>
    </rPh>
    <rPh sb="8" eb="10">
      <t>コウゲキ</t>
    </rPh>
    <rPh sb="14" eb="16">
      <t>モクヒョウ</t>
    </rPh>
    <rPh sb="17" eb="18">
      <t>オ</t>
    </rPh>
    <rPh sb="22" eb="23">
      <t>ヒ</t>
    </rPh>
    <rPh sb="24" eb="25">
      <t>ヨ</t>
    </rPh>
    <rPh sb="28" eb="30">
      <t>ヨコスベ</t>
    </rPh>
    <rPh sb="34" eb="35">
      <t>トキ</t>
    </rPh>
    <phoneticPr fontId="1"/>
  </si>
  <si>
    <t>渾沌の力</t>
    <rPh sb="0" eb="2">
      <t>コントン</t>
    </rPh>
    <rPh sb="3" eb="4">
      <t>チカラ</t>
    </rPh>
    <phoneticPr fontId="1"/>
  </si>
  <si>
    <t>★：デーモンの怒り(Lv11)(PHⅡ115)</t>
    <rPh sb="7" eb="8">
      <t>イカ</t>
    </rPh>
    <phoneticPr fontId="1"/>
  </si>
  <si>
    <r>
      <t>　　　君は追加のアクションを得る為に</t>
    </r>
    <r>
      <rPr>
        <b/>
        <sz val="11"/>
        <color rgb="FFFF0000"/>
        <rFont val="ＭＳ Ｐゴシック"/>
        <family val="3"/>
        <charset val="128"/>
        <scheme val="minor"/>
      </rPr>
      <t>APを消費</t>
    </r>
    <r>
      <rPr>
        <sz val="11"/>
        <color theme="1"/>
        <rFont val="ＭＳ Ｐゴシック"/>
        <family val="2"/>
        <charset val="128"/>
        <scheme val="minor"/>
      </rPr>
      <t>した際、</t>
    </r>
    <r>
      <rPr>
        <b/>
        <sz val="11"/>
        <color rgb="FFFF0000"/>
        <rFont val="ＭＳ Ｐゴシック"/>
        <family val="3"/>
        <charset val="128"/>
        <scheme val="minor"/>
      </rPr>
      <t/>
    </r>
    <rPh sb="3" eb="4">
      <t>キミ</t>
    </rPh>
    <rPh sb="5" eb="7">
      <t>ツイカ</t>
    </rPh>
    <rPh sb="14" eb="15">
      <t>エ</t>
    </rPh>
    <rPh sb="16" eb="17">
      <t>タメ</t>
    </rPh>
    <rPh sb="21" eb="23">
      <t>ショウヒ</t>
    </rPh>
    <rPh sb="25" eb="26">
      <t>サイ</t>
    </rPh>
    <phoneticPr fontId="1"/>
  </si>
  <si>
    <t>★：アビスを垣間見る(Lv16)(PHⅡ115)</t>
    <rPh sb="6" eb="9">
      <t>カイマミ</t>
    </rPh>
    <phoneticPr fontId="1"/>
  </si>
  <si>
    <r>
      <t>　　　君が</t>
    </r>
    <r>
      <rPr>
        <b/>
        <sz val="11"/>
        <color rgb="FFFF0000"/>
        <rFont val="ＭＳ Ｐゴシック"/>
        <family val="3"/>
        <charset val="128"/>
        <scheme val="minor"/>
      </rPr>
      <t>クリティカル・ヒット</t>
    </r>
    <r>
      <rPr>
        <sz val="11"/>
        <color theme="1"/>
        <rFont val="ＭＳ Ｐゴシック"/>
        <family val="2"/>
        <charset val="128"/>
        <scheme val="minor"/>
      </rPr>
      <t>を与えた際、</t>
    </r>
    <r>
      <rPr>
        <b/>
        <sz val="11"/>
        <color rgb="FFFF0000"/>
        <rFont val="ＭＳ Ｐゴシック"/>
        <family val="3"/>
        <charset val="128"/>
        <scheme val="minor"/>
      </rPr>
      <t>君とその攻撃の目標</t>
    </r>
    <r>
      <rPr>
        <sz val="11"/>
        <color theme="1"/>
        <rFont val="ＭＳ Ｐゴシック"/>
        <family val="2"/>
        <charset val="128"/>
        <scheme val="minor"/>
      </rPr>
      <t>はいずれも、</t>
    </r>
    <rPh sb="3" eb="4">
      <t>キミ</t>
    </rPh>
    <rPh sb="16" eb="17">
      <t>アタ</t>
    </rPh>
    <rPh sb="19" eb="20">
      <t>サイ</t>
    </rPh>
    <rPh sb="21" eb="22">
      <t>キミ</t>
    </rPh>
    <rPh sb="25" eb="27">
      <t>コウゲキ</t>
    </rPh>
    <rPh sb="28" eb="30">
      <t>モクヒョウ</t>
    </rPh>
    <phoneticPr fontId="1"/>
  </si>
  <si>
    <r>
      <t>　　　君の</t>
    </r>
    <r>
      <rPr>
        <b/>
        <sz val="11"/>
        <color rgb="FF006699"/>
        <rFont val="ＭＳ Ｐゴシック"/>
        <family val="3"/>
        <charset val="128"/>
        <scheme val="minor"/>
      </rPr>
      <t>次T開</t>
    </r>
    <r>
      <rPr>
        <sz val="11"/>
        <color theme="1"/>
        <rFont val="ＭＳ Ｐゴシック"/>
        <family val="2"/>
        <charset val="128"/>
        <scheme val="minor"/>
      </rPr>
      <t>まで</t>
    </r>
    <r>
      <rPr>
        <b/>
        <sz val="11"/>
        <color rgb="FFFF0000"/>
        <rFont val="ＭＳ Ｐゴシック"/>
        <family val="3"/>
        <charset val="128"/>
        <scheme val="minor"/>
      </rPr>
      <t>盲目状態</t>
    </r>
    <r>
      <rPr>
        <sz val="11"/>
        <color theme="1"/>
        <rFont val="ＭＳ Ｐゴシック"/>
        <family val="2"/>
        <charset val="128"/>
        <scheme val="minor"/>
      </rPr>
      <t>となる。</t>
    </r>
    <rPh sb="3" eb="4">
      <t>キミ</t>
    </rPh>
    <rPh sb="5" eb="6">
      <t>ジ</t>
    </rPh>
    <rPh sb="7" eb="8">
      <t>カイ</t>
    </rPh>
    <rPh sb="10" eb="12">
      <t>モウモク</t>
    </rPh>
    <rPh sb="12" eb="14">
      <t>ジョウタイ</t>
    </rPh>
    <phoneticPr fontId="1"/>
  </si>
  <si>
    <t>デーモンソウル・ボルツ</t>
    <phoneticPr fontId="1"/>
  </si>
  <si>
    <t>デーモンスキン・アデプト/攻撃/１１　(PHⅡ115)</t>
    <rPh sb="13" eb="15">
      <t>コウゲキ</t>
    </rPh>
    <phoneticPr fontId="1"/>
  </si>
  <si>
    <t>※《スタッフ練達》(墜252)</t>
    <rPh sb="6" eb="8">
      <t>レンタツ</t>
    </rPh>
    <rPh sb="10" eb="11">
      <t>オ</t>
    </rPh>
    <phoneticPr fontId="1"/>
  </si>
  <si>
    <t>　　君がスタッフ類を[装具]として遠隔攻撃および遠隔範囲攻撃を行う際に、</t>
    <rPh sb="2" eb="3">
      <t>キミ</t>
    </rPh>
    <rPh sb="8" eb="9">
      <t>ルイ</t>
    </rPh>
    <rPh sb="11" eb="13">
      <t>ソウグ</t>
    </rPh>
    <rPh sb="17" eb="19">
      <t>エンカク</t>
    </rPh>
    <rPh sb="19" eb="21">
      <t>コウゲキ</t>
    </rPh>
    <rPh sb="24" eb="26">
      <t>エンカク</t>
    </rPh>
    <rPh sb="26" eb="28">
      <t>ハンイ</t>
    </rPh>
    <rPh sb="28" eb="30">
      <t>コウゲキ</t>
    </rPh>
    <rPh sb="31" eb="32">
      <t>オコナ</t>
    </rPh>
    <rPh sb="33" eb="34">
      <t>サイ</t>
    </rPh>
    <phoneticPr fontId="1"/>
  </si>
  <si>
    <t>(１ｄ８＋【魅】)の[雷鳴]ダメージ</t>
    <rPh sb="11" eb="13">
      <t>ライメイ</t>
    </rPh>
    <phoneticPr fontId="1"/>
  </si>
  <si>
    <t>(２ｄ８＋【魅】)の[雷鳴]ダメージ</t>
    <rPh sb="11" eb="13">
      <t>ライメイ</t>
    </rPh>
    <phoneticPr fontId="1"/>
  </si>
  <si>
    <r>
      <rPr>
        <sz val="11"/>
        <rFont val="ＭＳ Ｐゴシック"/>
        <family val="3"/>
        <charset val="128"/>
      </rPr>
      <t>使用者は目標を1マス横滑りさせる。</t>
    </r>
    <r>
      <rPr>
        <b/>
        <sz val="11"/>
        <color indexed="8"/>
        <rFont val="ＭＳ Ｐゴシック"/>
        <family val="3"/>
        <charset val="128"/>
      </rPr>
      <t xml:space="preserve"> 　＞上級装具で </t>
    </r>
    <r>
      <rPr>
        <b/>
        <sz val="11"/>
        <color rgb="FFFF0000"/>
        <rFont val="ＭＳ Ｐゴシック"/>
        <family val="3"/>
        <charset val="128"/>
      </rPr>
      <t>2マス横滑り</t>
    </r>
    <rPh sb="10" eb="12">
      <t>ヨコスベ</t>
    </rPh>
    <rPh sb="20" eb="22">
      <t>ジョウキュウ</t>
    </rPh>
    <rPh sb="22" eb="24">
      <t>ソウグ</t>
    </rPh>
    <rPh sb="29" eb="31">
      <t>ヨコスベ</t>
    </rPh>
    <phoneticPr fontId="1"/>
  </si>
  <si>
    <r>
      <t>この攻撃を</t>
    </r>
    <r>
      <rPr>
        <b/>
        <sz val="11"/>
        <color rgb="FFFF0000"/>
        <rFont val="ＭＳ Ｐゴシック"/>
        <family val="3"/>
        <charset val="128"/>
        <scheme val="minor"/>
      </rPr>
      <t>さらに２回行う</t>
    </r>
    <r>
      <rPr>
        <sz val="11"/>
        <rFont val="ＭＳ Ｐゴシック"/>
        <family val="3"/>
        <charset val="128"/>
        <scheme val="minor"/>
      </rPr>
      <t>。それらの攻撃の目標は最初の目標と同一でも、別に構わない。</t>
    </r>
    <rPh sb="2" eb="4">
      <t>コウゲキ</t>
    </rPh>
    <rPh sb="9" eb="10">
      <t>カイ</t>
    </rPh>
    <rPh sb="10" eb="11">
      <t>オコナ</t>
    </rPh>
    <rPh sb="17" eb="19">
      <t>コウゲキ</t>
    </rPh>
    <rPh sb="20" eb="22">
      <t>モクヒョウ</t>
    </rPh>
    <rPh sb="23" eb="25">
      <t>サイショ</t>
    </rPh>
    <rPh sb="26" eb="28">
      <t>モクヒョウ</t>
    </rPh>
    <rPh sb="29" eb="31">
      <t>ドウイツ</t>
    </rPh>
    <rPh sb="34" eb="35">
      <t>ベツ</t>
    </rPh>
    <rPh sb="36" eb="37">
      <t>カマ</t>
    </rPh>
    <phoneticPr fontId="1"/>
  </si>
  <si>
    <t>効果</t>
    <rPh sb="0" eb="2">
      <t>コウカ</t>
    </rPh>
    <phoneticPr fontId="1"/>
  </si>
  <si>
    <t>ソーサラー/攻撃/５　(秘63)</t>
    <rPh sb="6" eb="8">
      <t>コウゲキ</t>
    </rPh>
    <rPh sb="12" eb="13">
      <t>ヒ</t>
    </rPh>
    <phoneticPr fontId="1"/>
  </si>
  <si>
    <t>[一日毎]◆［瞬間移動］［精神］［装具］［秘術］</t>
    <rPh sb="1" eb="3">
      <t>イチニチ</t>
    </rPh>
    <rPh sb="3" eb="4">
      <t>ゴト</t>
    </rPh>
    <rPh sb="7" eb="9">
      <t>シュンカン</t>
    </rPh>
    <rPh sb="9" eb="11">
      <t>イドウ</t>
    </rPh>
    <rPh sb="13" eb="15">
      <t>セイシン</t>
    </rPh>
    <rPh sb="21" eb="23">
      <t>ヒジュツ</t>
    </rPh>
    <phoneticPr fontId="1"/>
  </si>
  <si>
    <t>即応・割込</t>
    <rPh sb="0" eb="2">
      <t>ソクオウ</t>
    </rPh>
    <rPh sb="3" eb="4">
      <t>ワ</t>
    </rPh>
    <rPh sb="4" eb="5">
      <t>コ</t>
    </rPh>
    <phoneticPr fontId="1"/>
  </si>
  <si>
    <t>トリガー</t>
    <phoneticPr fontId="1"/>
  </si>
  <si>
    <t>【魅】対"意志"</t>
    <rPh sb="3" eb="4">
      <t>タイ</t>
    </rPh>
    <rPh sb="5" eb="7">
      <t>イシ</t>
    </rPh>
    <phoneticPr fontId="1"/>
  </si>
  <si>
    <t>(２ｄ１０＋【魅】)の[精神]ダメージ</t>
    <rPh sb="12" eb="14">
      <t>セイシン</t>
    </rPh>
    <phoneticPr fontId="1"/>
  </si>
  <si>
    <t>ミス</t>
    <phoneticPr fontId="1"/>
  </si>
  <si>
    <t>半減ダメージ</t>
    <rPh sb="0" eb="1">
      <t>ハンゲン</t>
    </rPh>
    <phoneticPr fontId="1"/>
  </si>
  <si>
    <r>
      <t xml:space="preserve">2マス横滑りさせる。 　＞上級装具で </t>
    </r>
    <r>
      <rPr>
        <b/>
        <sz val="11"/>
        <color rgb="FFFF0000"/>
        <rFont val="ＭＳ Ｐゴシック"/>
        <family val="3"/>
        <charset val="128"/>
        <scheme val="minor"/>
      </rPr>
      <t>３マス横滑り</t>
    </r>
    <phoneticPr fontId="1"/>
  </si>
  <si>
    <t>スペイシャル・トリップ</t>
    <phoneticPr fontId="1"/>
  </si>
  <si>
    <t>[遭遇毎]◆[瞬間移動][秘術]</t>
    <rPh sb="1" eb="3">
      <t>ソウグウ</t>
    </rPh>
    <rPh sb="3" eb="4">
      <t>マイ</t>
    </rPh>
    <rPh sb="7" eb="9">
      <t>シュンカン</t>
    </rPh>
    <rPh sb="9" eb="11">
      <t>イドウ</t>
    </rPh>
    <rPh sb="13" eb="15">
      <t>ヒジュツ</t>
    </rPh>
    <phoneticPr fontId="1"/>
  </si>
  <si>
    <t>移動アクション</t>
    <rPh sb="0" eb="2">
      <t>イドウ</t>
    </rPh>
    <phoneticPr fontId="1"/>
  </si>
  <si>
    <t>使用者は、自分の移動速度の半分に等しいマスの瞬間移動を行う。</t>
    <rPh sb="0" eb="3">
      <t>シヨウシャ</t>
    </rPh>
    <rPh sb="5" eb="7">
      <t>ジブン</t>
    </rPh>
    <rPh sb="8" eb="10">
      <t>イドウ</t>
    </rPh>
    <rPh sb="10" eb="12">
      <t>ソクド</t>
    </rPh>
    <rPh sb="13" eb="15">
      <t>ハンブン</t>
    </rPh>
    <rPh sb="16" eb="17">
      <t>ヒト</t>
    </rPh>
    <rPh sb="22" eb="24">
      <t>シュンカン</t>
    </rPh>
    <rPh sb="24" eb="26">
      <t>イドウ</t>
    </rPh>
    <rPh sb="27" eb="28">
      <t>オコナ</t>
    </rPh>
    <phoneticPr fontId="1"/>
  </si>
  <si>
    <t>ソーサラー／汎用／６　（PHⅡ108）</t>
    <rPh sb="6" eb="8">
      <t>ハンヨウ</t>
    </rPh>
    <phoneticPr fontId="1"/>
  </si>
  <si>
    <t>[一日毎]◆[瞬間移動][秘術]</t>
    <rPh sb="1" eb="3">
      <t>イチニチ</t>
    </rPh>
    <rPh sb="3" eb="4">
      <t>ゴト</t>
    </rPh>
    <rPh sb="7" eb="9">
      <t>シュンカン</t>
    </rPh>
    <rPh sb="9" eb="11">
      <t>イドウ</t>
    </rPh>
    <rPh sb="13" eb="15">
      <t>ヒジュツ</t>
    </rPh>
    <phoneticPr fontId="1"/>
  </si>
  <si>
    <t>トリガー</t>
    <phoneticPr fontId="1"/>
  </si>
  <si>
    <t>使用者は３マス、瞬間移動する。</t>
    <rPh sb="0" eb="3">
      <t>シヨウシャ</t>
    </rPh>
    <rPh sb="8" eb="10">
      <t>シュンカン</t>
    </rPh>
    <rPh sb="10" eb="12">
      <t>イドウ</t>
    </rPh>
    <phoneticPr fontId="1"/>
  </si>
  <si>
    <t>荒ぶる魔法：使用者が瞬間移動するマス目の数は（２＋【敏】)に等しい。</t>
    <rPh sb="0" eb="1">
      <t>アラ</t>
    </rPh>
    <rPh sb="3" eb="5">
      <t>マホウ</t>
    </rPh>
    <rPh sb="6" eb="9">
      <t>シヨウシャ</t>
    </rPh>
    <rPh sb="10" eb="12">
      <t>シュンカン</t>
    </rPh>
    <rPh sb="12" eb="14">
      <t>イドウ</t>
    </rPh>
    <rPh sb="18" eb="19">
      <t>メ</t>
    </rPh>
    <rPh sb="20" eb="21">
      <t>カズ</t>
    </rPh>
    <rPh sb="26" eb="27">
      <t>トシ</t>
    </rPh>
    <rPh sb="30" eb="31">
      <t>ヒト</t>
    </rPh>
    <phoneticPr fontId="1"/>
  </si>
  <si>
    <r>
      <t>使用者は</t>
    </r>
    <r>
      <rPr>
        <b/>
        <sz val="11"/>
        <color rgb="FFFF0000"/>
        <rFont val="ＭＳ Ｐゴシック"/>
        <family val="3"/>
        <charset val="128"/>
        <scheme val="minor"/>
      </rPr>
      <t>遠隔範囲</t>
    </r>
    <r>
      <rPr>
        <sz val="11"/>
        <rFont val="ＭＳ Ｐゴシック"/>
        <family val="3"/>
        <charset val="128"/>
        <scheme val="minor"/>
      </rPr>
      <t>、あるいは</t>
    </r>
    <r>
      <rPr>
        <b/>
        <sz val="11"/>
        <color rgb="FFFF0000"/>
        <rFont val="ＭＳ Ｐゴシック"/>
        <family val="3"/>
        <charset val="128"/>
        <scheme val="minor"/>
      </rPr>
      <t>近接範囲</t>
    </r>
    <r>
      <rPr>
        <sz val="11"/>
        <rFont val="ＭＳ Ｐゴシック"/>
        <family val="3"/>
        <charset val="128"/>
        <scheme val="minor"/>
      </rPr>
      <t>の</t>
    </r>
    <r>
      <rPr>
        <b/>
        <sz val="11"/>
        <color rgb="FFFF0000"/>
        <rFont val="ＭＳ Ｐゴシック"/>
        <family val="3"/>
        <charset val="128"/>
        <scheme val="minor"/>
      </rPr>
      <t>攻撃によるヒット</t>
    </r>
    <r>
      <rPr>
        <sz val="11"/>
        <rFont val="ＭＳ Ｐゴシック"/>
        <family val="3"/>
        <charset val="128"/>
        <scheme val="minor"/>
      </rPr>
      <t>を受ける。</t>
    </r>
    <rPh sb="0" eb="3">
      <t>シヨウシャ</t>
    </rPh>
    <rPh sb="4" eb="6">
      <t>エンカク</t>
    </rPh>
    <rPh sb="6" eb="8">
      <t>ハンイ</t>
    </rPh>
    <rPh sb="13" eb="15">
      <t>キンセツ</t>
    </rPh>
    <rPh sb="15" eb="17">
      <t>ハンイ</t>
    </rPh>
    <rPh sb="18" eb="20">
      <t>コウゲキ</t>
    </rPh>
    <rPh sb="27" eb="28">
      <t>ウ</t>
    </rPh>
    <phoneticPr fontId="1"/>
  </si>
  <si>
    <t>デーモンスキン・アデプト/汎用/１２　(PHⅡ115)</t>
    <rPh sb="13" eb="15">
      <t>ハンヨウ</t>
    </rPh>
    <phoneticPr fontId="1"/>
  </si>
  <si>
    <t>必要条件</t>
    <rPh sb="0" eb="2">
      <t>ヒツヨウ</t>
    </rPh>
    <rPh sb="2" eb="4">
      <t>ジョウケン</t>
    </rPh>
    <phoneticPr fontId="1"/>
  </si>
  <si>
    <t>使用者は重傷でなければならない。</t>
    <rPh sb="0" eb="3">
      <t>シヨウシャ</t>
    </rPh>
    <rPh sb="4" eb="6">
      <t>ジュウショウ</t>
    </rPh>
    <phoneticPr fontId="1"/>
  </si>
  <si>
    <t>この遭遇の終了まで、使用者が重傷である間は使用者の[秘術]の攻撃は</t>
    <rPh sb="2" eb="4">
      <t>ソウグウ</t>
    </rPh>
    <rPh sb="5" eb="7">
      <t>シュウリョウ</t>
    </rPh>
    <rPh sb="10" eb="13">
      <t>シヨウシャ</t>
    </rPh>
    <rPh sb="14" eb="16">
      <t>ジュウショウ</t>
    </rPh>
    <rPh sb="19" eb="20">
      <t>アイダ</t>
    </rPh>
    <rPh sb="21" eb="24">
      <t>シヨウシャ</t>
    </rPh>
    <rPh sb="26" eb="28">
      <t>ヒジュツ</t>
    </rPh>
    <rPh sb="30" eb="32">
      <t>コウゲキ</t>
    </rPh>
    <phoneticPr fontId="1"/>
  </si>
  <si>
    <t>ヒットしたなら１ｄ６の追加ダメージを与える。</t>
    <rPh sb="11" eb="13">
      <t>ツイカ</t>
    </rPh>
    <rPh sb="18" eb="19">
      <t>アタ</t>
    </rPh>
    <phoneticPr fontId="1"/>
  </si>
  <si>
    <t>デーモンスキン・アデプト/攻撃/２０　(PHⅡ115)</t>
    <rPh sb="13" eb="15">
      <t>コウゲキ</t>
    </rPh>
    <phoneticPr fontId="1"/>
  </si>
  <si>
    <t>[一日毎]◆[区域][装具][秘術]</t>
    <rPh sb="7" eb="9">
      <t>クイキ</t>
    </rPh>
    <rPh sb="11" eb="13">
      <t>ソウグ</t>
    </rPh>
    <rPh sb="15" eb="17">
      <t>ヒジュツ</t>
    </rPh>
    <phoneticPr fontId="1"/>
  </si>
  <si>
    <t>爆発の範囲内の敵すべて</t>
    <rPh sb="0" eb="2">
      <t>バクハツ</t>
    </rPh>
    <rPh sb="3" eb="6">
      <t>ハンイナイ</t>
    </rPh>
    <rPh sb="7" eb="8">
      <t>テキ</t>
    </rPh>
    <phoneticPr fontId="1"/>
  </si>
  <si>
    <t>(３ｄ６＋【魅】)ダメージ</t>
    <phoneticPr fontId="1"/>
  </si>
  <si>
    <t>その爆発は使用者の次T終まで持続する旋回する刃の区域を作り出す。</t>
    <rPh sb="2" eb="4">
      <t>バクハツ</t>
    </rPh>
    <rPh sb="5" eb="8">
      <t>シヨウシャ</t>
    </rPh>
    <rPh sb="9" eb="10">
      <t>ジ</t>
    </rPh>
    <rPh sb="11" eb="12">
      <t>シュウ</t>
    </rPh>
    <rPh sb="14" eb="16">
      <t>ジゾク</t>
    </rPh>
    <rPh sb="18" eb="20">
      <t>センカイ</t>
    </rPh>
    <rPh sb="22" eb="23">
      <t>ハ</t>
    </rPh>
    <rPh sb="24" eb="26">
      <t>クイキ</t>
    </rPh>
    <rPh sb="27" eb="28">
      <t>ツク</t>
    </rPh>
    <rPh sb="29" eb="30">
      <t>ダ</t>
    </rPh>
    <phoneticPr fontId="1"/>
  </si>
  <si>
    <t>この区域が出現した時点で効果を選択する事。</t>
    <rPh sb="2" eb="4">
      <t>クイキ</t>
    </rPh>
    <rPh sb="5" eb="7">
      <t>シュツゲン</t>
    </rPh>
    <rPh sb="9" eb="11">
      <t>ジテン</t>
    </rPh>
    <rPh sb="12" eb="14">
      <t>コウカ</t>
    </rPh>
    <rPh sb="15" eb="17">
      <t>センタク</t>
    </rPh>
    <rPh sb="19" eb="20">
      <t>コト</t>
    </rPh>
    <phoneticPr fontId="1"/>
  </si>
  <si>
    <t>　◆この区域の中でTを開始したすべての敵は(３ｄ６＋【魅】)ダメージを受ける</t>
    <rPh sb="4" eb="6">
      <t>クイキ</t>
    </rPh>
    <rPh sb="7" eb="8">
      <t>ナカ</t>
    </rPh>
    <rPh sb="11" eb="13">
      <t>カイシ</t>
    </rPh>
    <rPh sb="19" eb="20">
      <t>テキ</t>
    </rPh>
    <rPh sb="35" eb="36">
      <t>ウ</t>
    </rPh>
    <phoneticPr fontId="1"/>
  </si>
  <si>
    <t>　　この区域の中にいる間、使用者および使用者の味方はみな</t>
    <rPh sb="4" eb="6">
      <t>クイキ</t>
    </rPh>
    <rPh sb="7" eb="8">
      <t>ナカ</t>
    </rPh>
    <rPh sb="11" eb="12">
      <t>アイダ</t>
    </rPh>
    <rPh sb="13" eb="16">
      <t>シヨウシャ</t>
    </rPh>
    <rPh sb="19" eb="22">
      <t>シヨウシャ</t>
    </rPh>
    <rPh sb="23" eb="25">
      <t>ミカタ</t>
    </rPh>
    <phoneticPr fontId="1"/>
  </si>
  <si>
    <t>　　ACに＋４のパワーBを得る。</t>
    <rPh sb="13" eb="14">
      <t>エ</t>
    </rPh>
    <phoneticPr fontId="1"/>
  </si>
  <si>
    <t>この区域が持続する。さらに、使用者は区域の効果を変更できる。</t>
    <rPh sb="2" eb="4">
      <t>クイキ</t>
    </rPh>
    <rPh sb="5" eb="7">
      <t>ジゾク</t>
    </rPh>
    <rPh sb="14" eb="17">
      <t>シヨウシャ</t>
    </rPh>
    <rPh sb="18" eb="20">
      <t>クイキ</t>
    </rPh>
    <rPh sb="21" eb="23">
      <t>コウカ</t>
    </rPh>
    <rPh sb="24" eb="26">
      <t>ヘンコウ</t>
    </rPh>
    <phoneticPr fontId="1"/>
  </si>
  <si>
    <t>ソーサラー/デーモンスキン・アデプト</t>
    <phoneticPr fontId="1"/>
  </si>
  <si>
    <t>範囲内のクリーチャーすべて</t>
    <rPh sb="0" eb="3">
      <t>ハンイナイ</t>
    </rPh>
    <phoneticPr fontId="1"/>
  </si>
  <si>
    <t>※《轟く雷鳴》(PHB205)</t>
    <rPh sb="2" eb="3">
      <t>トドロ</t>
    </rPh>
    <rPh sb="4" eb="6">
      <t>ライメイ</t>
    </rPh>
    <phoneticPr fontId="1"/>
  </si>
  <si>
    <t>　　君は遠隔攻撃を行う際、目標が伏せ状態であることによるペナルティを受けない。</t>
    <rPh sb="2" eb="3">
      <t>キミ</t>
    </rPh>
    <rPh sb="4" eb="6">
      <t>エンカク</t>
    </rPh>
    <rPh sb="6" eb="8">
      <t>コウゲキ</t>
    </rPh>
    <rPh sb="9" eb="10">
      <t>オコナ</t>
    </rPh>
    <rPh sb="11" eb="12">
      <t>サイ</t>
    </rPh>
    <rPh sb="13" eb="15">
      <t>モクヒョウ</t>
    </rPh>
    <rPh sb="16" eb="17">
      <t>フ</t>
    </rPh>
    <rPh sb="18" eb="20">
      <t>ジョウタイ</t>
    </rPh>
    <rPh sb="34" eb="35">
      <t>ウ</t>
    </rPh>
    <phoneticPr fontId="1"/>
  </si>
  <si>
    <t>　　君の遠隔攻撃は伏せ状態の目標に対しては２の追加ダメージを与える。</t>
    <rPh sb="2" eb="3">
      <t>キミ</t>
    </rPh>
    <rPh sb="4" eb="6">
      <t>エンカク</t>
    </rPh>
    <rPh sb="6" eb="8">
      <t>コウゲキ</t>
    </rPh>
    <rPh sb="9" eb="10">
      <t>フ</t>
    </rPh>
    <rPh sb="11" eb="13">
      <t>ジョウタイ</t>
    </rPh>
    <rPh sb="14" eb="16">
      <t>モクヒョウ</t>
    </rPh>
    <rPh sb="17" eb="18">
      <t>タイ</t>
    </rPh>
    <rPh sb="23" eb="25">
      <t>ツイカ</t>
    </rPh>
    <rPh sb="30" eb="31">
      <t>アタ</t>
    </rPh>
    <phoneticPr fontId="1"/>
  </si>
  <si>
    <t>伏せ</t>
    <rPh sb="0" eb="1">
      <t>フ</t>
    </rPh>
    <phoneticPr fontId="1"/>
  </si>
  <si>
    <t>ダメージボーナス</t>
    <phoneticPr fontId="1"/>
  </si>
  <si>
    <t>ダメージダイス数</t>
    <rPh sb="7" eb="8">
      <t>スウ</t>
    </rPh>
    <phoneticPr fontId="1"/>
  </si>
  <si>
    <t>ダメージダイス</t>
    <phoneticPr fontId="1"/>
  </si>
  <si>
    <t>d</t>
    <phoneticPr fontId="1"/>
  </si>
  <si>
    <t>1 or 2</t>
    <phoneticPr fontId="1"/>
  </si>
  <si>
    <t>デモニック・ラス</t>
    <phoneticPr fontId="1"/>
  </si>
  <si>
    <t>近接 or 遠隔</t>
    <rPh sb="6" eb="8">
      <t>エンカク</t>
    </rPh>
    <phoneticPr fontId="1"/>
  </si>
  <si>
    <t>【筋】対"ＡC"（近接） or 【敏】対"ＡC"（遠隔）</t>
    <rPh sb="1" eb="2">
      <t>キン</t>
    </rPh>
    <rPh sb="3" eb="4">
      <t>タイ</t>
    </rPh>
    <rPh sb="9" eb="11">
      <t>キンセツ</t>
    </rPh>
    <rPh sb="17" eb="18">
      <t>ビン</t>
    </rPh>
    <rPh sb="25" eb="27">
      <t>エンカク</t>
    </rPh>
    <phoneticPr fontId="1"/>
  </si>
  <si>
    <t>(１[Ｗ]＋【筋】)ダメージ（近接） or (１[Ｗ]＋【敏】)ダメージ（遠隔）</t>
    <rPh sb="15" eb="17">
      <t>キンセツ</t>
    </rPh>
    <rPh sb="29" eb="30">
      <t>ビン</t>
    </rPh>
    <rPh sb="37" eb="39">
      <t>エンカク</t>
    </rPh>
    <phoneticPr fontId="1"/>
  </si>
  <si>
    <t>①機会攻撃</t>
    <rPh sb="1" eb="3">
      <t>キカイ</t>
    </rPh>
    <rPh sb="3" eb="5">
      <t>コウゲキ</t>
    </rPh>
    <phoneticPr fontId="1"/>
  </si>
  <si>
    <t>②フリーアクション</t>
    <phoneticPr fontId="1"/>
  </si>
  <si>
    <t>近接基礎攻撃の使い所は</t>
    <rPh sb="0" eb="2">
      <t>キンセツ</t>
    </rPh>
    <rPh sb="2" eb="4">
      <t>キソ</t>
    </rPh>
    <rPh sb="4" eb="6">
      <t>コウゲキ</t>
    </rPh>
    <rPh sb="7" eb="8">
      <t>ツカ</t>
    </rPh>
    <rPh sb="9" eb="10">
      <t>トコロ</t>
    </rPh>
    <phoneticPr fontId="1"/>
  </si>
  <si>
    <t>　　アイアー以外の効果でならフリーアクションで殴る事が皆無とも言えないので怖い・・・。</t>
    <rPh sb="6" eb="8">
      <t>イガイ</t>
    </rPh>
    <rPh sb="9" eb="11">
      <t>コウカ</t>
    </rPh>
    <rPh sb="23" eb="24">
      <t>ナグ</t>
    </rPh>
    <rPh sb="25" eb="26">
      <t>コト</t>
    </rPh>
    <rPh sb="27" eb="29">
      <t>カイム</t>
    </rPh>
    <rPh sb="31" eb="32">
      <t>イ</t>
    </rPh>
    <rPh sb="37" eb="38">
      <t>コワ</t>
    </rPh>
    <phoneticPr fontId="1"/>
  </si>
  <si>
    <t>遠隔基礎攻撃の使い所は</t>
    <rPh sb="0" eb="2">
      <t>エンカク</t>
    </rPh>
    <rPh sb="2" eb="4">
      <t>キソ</t>
    </rPh>
    <rPh sb="4" eb="6">
      <t>コウゲキ</t>
    </rPh>
    <rPh sb="7" eb="8">
      <t>ツカ</t>
    </rPh>
    <rPh sb="9" eb="10">
      <t>トコロ</t>
    </rPh>
    <phoneticPr fontId="1"/>
  </si>
  <si>
    <t>①秘術パワーを使ったら都合悪い場合</t>
    <phoneticPr fontId="1"/>
  </si>
  <si>
    <t>②自らの意志で味方を攻撃する場合</t>
    <rPh sb="14" eb="16">
      <t>バアイ</t>
    </rPh>
    <phoneticPr fontId="1"/>
  </si>
  <si>
    <t>武器による基礎攻撃</t>
    <rPh sb="0" eb="2">
      <t>ブキ</t>
    </rPh>
    <rPh sb="5" eb="7">
      <t>キソ</t>
    </rPh>
    <rPh sb="7" eb="9">
      <t>コウゲキ</t>
    </rPh>
    <phoneticPr fontId="1"/>
  </si>
  <si>
    <t>デモニック・ラス</t>
    <phoneticPr fontId="1"/>
  </si>
  <si>
    <t>シフターの”アレ”と条件が大差無い、つまりインチキ重傷みたいな特殊なギミックが無いと・・・。</t>
    <rPh sb="10" eb="12">
      <t>ジョウケン</t>
    </rPh>
    <rPh sb="13" eb="15">
      <t>タイサ</t>
    </rPh>
    <rPh sb="15" eb="16">
      <t>ナ</t>
    </rPh>
    <rPh sb="25" eb="27">
      <t>ジュウショウ</t>
    </rPh>
    <rPh sb="31" eb="33">
      <t>トクシュ</t>
    </rPh>
    <rPh sb="39" eb="40">
      <t>ナ</t>
    </rPh>
    <phoneticPr fontId="1"/>
  </si>
  <si>
    <t>キャラクターの性質上、一旦発動すれば条件を維持するのは容易い。</t>
    <rPh sb="7" eb="10">
      <t>セイシツジョウ</t>
    </rPh>
    <rPh sb="11" eb="13">
      <t>イッタン</t>
    </rPh>
    <rPh sb="13" eb="15">
      <t>ハツドウ</t>
    </rPh>
    <rPh sb="18" eb="20">
      <t>ジョウケン</t>
    </rPh>
    <rPh sb="21" eb="23">
      <t>イジ</t>
    </rPh>
    <rPh sb="27" eb="29">
      <t>タヤス</t>
    </rPh>
    <phoneticPr fontId="1"/>
  </si>
  <si>
    <t>ソーズ・オヴ・ザ・マリリス</t>
    <phoneticPr fontId="1"/>
  </si>
  <si>
    <t>　◆この区域の中でTを開始したすべての敵はみな(１ｄ６＋【魅】)ダメージを受ける　＆</t>
    <rPh sb="4" eb="6">
      <t>クイキ</t>
    </rPh>
    <rPh sb="7" eb="8">
      <t>ナカ</t>
    </rPh>
    <rPh sb="11" eb="13">
      <t>カイシ</t>
    </rPh>
    <rPh sb="19" eb="20">
      <t>テキ</t>
    </rPh>
    <rPh sb="37" eb="38">
      <t>ウ</t>
    </rPh>
    <phoneticPr fontId="1"/>
  </si>
  <si>
    <t>③スウィフト・エスケープと使い分ける</t>
    <rPh sb="13" eb="14">
      <t>ツカ</t>
    </rPh>
    <rPh sb="15" eb="16">
      <t>ワ</t>
    </rPh>
    <phoneticPr fontId="1"/>
  </si>
  <si>
    <t>　　再ロールの結果がクリティカルだったら笑え！</t>
    <rPh sb="2" eb="3">
      <t>サイ</t>
    </rPh>
    <rPh sb="7" eb="9">
      <t>ケッカ</t>
    </rPh>
    <rPh sb="20" eb="21">
      <t>ワラ</t>
    </rPh>
    <phoneticPr fontId="1"/>
  </si>
  <si>
    <t>　　基本的に使って損は無いハズ。　ダメ元でGO！</t>
    <rPh sb="2" eb="5">
      <t>キホンテキ</t>
    </rPh>
    <rPh sb="6" eb="7">
      <t>ツカ</t>
    </rPh>
    <rPh sb="9" eb="10">
      <t>ソン</t>
    </rPh>
    <rPh sb="11" eb="12">
      <t>ナ</t>
    </rPh>
    <rPh sb="19" eb="20">
      <t>モト</t>
    </rPh>
    <phoneticPr fontId="1"/>
  </si>
  <si>
    <t>　　あっちは対範囲攻撃専用なので、こっちでしか対処できない状況は確かにあるが、</t>
    <rPh sb="6" eb="7">
      <t>タイ</t>
    </rPh>
    <rPh sb="7" eb="9">
      <t>ハンイ</t>
    </rPh>
    <rPh sb="9" eb="11">
      <t>コウゲキ</t>
    </rPh>
    <rPh sb="11" eb="13">
      <t>センヨウ</t>
    </rPh>
    <rPh sb="23" eb="25">
      <t>タイショ</t>
    </rPh>
    <rPh sb="29" eb="31">
      <t>ジョウキョウ</t>
    </rPh>
    <rPh sb="32" eb="33">
      <t>タシ</t>
    </rPh>
    <phoneticPr fontId="1"/>
  </si>
  <si>
    <t>①段差や移動困難等、特殊地形を無視</t>
    <rPh sb="1" eb="3">
      <t>ダンサ</t>
    </rPh>
    <rPh sb="4" eb="6">
      <t>イドウ</t>
    </rPh>
    <rPh sb="6" eb="8">
      <t>コンナン</t>
    </rPh>
    <rPh sb="8" eb="9">
      <t>トウ</t>
    </rPh>
    <rPh sb="10" eb="12">
      <t>トクシュ</t>
    </rPh>
    <rPh sb="12" eb="14">
      <t>チケイ</t>
    </rPh>
    <rPh sb="15" eb="17">
      <t>ムシ</t>
    </rPh>
    <phoneticPr fontId="1"/>
  </si>
  <si>
    <t xml:space="preserve">ハウリング・ハリケーン </t>
    <phoneticPr fontId="1"/>
  </si>
  <si>
    <t>　　何らかの理由で攻撃をヒットさせたいが、決して大ダメージは与えたくない時に最適？</t>
    <rPh sb="2" eb="3">
      <t>ナン</t>
    </rPh>
    <rPh sb="6" eb="8">
      <t>リユウ</t>
    </rPh>
    <rPh sb="9" eb="11">
      <t>コウゲキ</t>
    </rPh>
    <rPh sb="21" eb="22">
      <t>ケッ</t>
    </rPh>
    <rPh sb="24" eb="25">
      <t>ダイ</t>
    </rPh>
    <rPh sb="30" eb="31">
      <t>アタ</t>
    </rPh>
    <rPh sb="36" eb="37">
      <t>トキ</t>
    </rPh>
    <rPh sb="38" eb="40">
      <t>サイテキ</t>
    </rPh>
    <phoneticPr fontId="1"/>
  </si>
  <si>
    <t>　　習熟付きの＋３武器で殴るので、数字的には全然絶望する程でも無し？</t>
    <rPh sb="2" eb="4">
      <t>シュウジュク</t>
    </rPh>
    <rPh sb="4" eb="5">
      <t>ツ</t>
    </rPh>
    <rPh sb="9" eb="11">
      <t>ブキ</t>
    </rPh>
    <rPh sb="12" eb="13">
      <t>ナグ</t>
    </rPh>
    <rPh sb="17" eb="20">
      <t>スウジテキ</t>
    </rPh>
    <rPh sb="22" eb="24">
      <t>ゼンゼン</t>
    </rPh>
    <rPh sb="24" eb="26">
      <t>ゼツボウ</t>
    </rPh>
    <rPh sb="28" eb="29">
      <t>ホド</t>
    </rPh>
    <rPh sb="31" eb="32">
      <t>ナ</t>
    </rPh>
    <phoneticPr fontId="1"/>
  </si>
  <si>
    <t>★：渾沌の炸裂(PHⅡ103)</t>
    <rPh sb="2" eb="4">
      <t>コントン</t>
    </rPh>
    <rPh sb="5" eb="7">
      <t>サクレツ</t>
    </rPh>
    <phoneticPr fontId="1"/>
  </si>
  <si>
    <t>★：制御不能な力(PHⅡ103)</t>
    <rPh sb="2" eb="4">
      <t>セイギョ</t>
    </rPh>
    <rPh sb="4" eb="6">
      <t>フノウ</t>
    </rPh>
    <rPh sb="7" eb="8">
      <t>チカラ</t>
    </rPh>
    <phoneticPr fontId="1"/>
  </si>
  <si>
    <t>★：渾沌の炸裂(PHⅡ103)</t>
    <phoneticPr fontId="1"/>
  </si>
  <si>
    <t>★：渾沌の炸裂(PHⅡ103)</t>
    <phoneticPr fontId="1"/>
  </si>
  <si>
    <t>※上級装具：移動強制(PHⅢ196)</t>
    <phoneticPr fontId="1"/>
  </si>
  <si>
    <r>
      <t>　　君が[秘術]パワーの攻撃Ｒにおいて</t>
    </r>
    <r>
      <rPr>
        <b/>
        <sz val="11"/>
        <color rgb="FFFF0000"/>
        <rFont val="ＭＳ Ｐゴシック"/>
        <family val="3"/>
        <charset val="128"/>
        <scheme val="minor"/>
      </rPr>
      <t>２０</t>
    </r>
    <r>
      <rPr>
        <sz val="11"/>
        <color theme="1"/>
        <rFont val="ＭＳ Ｐゴシック"/>
        <family val="3"/>
        <charset val="128"/>
        <scheme val="minor"/>
      </rPr>
      <t>をロールした場合、君はその攻撃Ｒの目標に対し攻撃による</t>
    </r>
    <rPh sb="2" eb="3">
      <t>キミ</t>
    </rPh>
    <rPh sb="5" eb="7">
      <t>ヒジュツ</t>
    </rPh>
    <rPh sb="12" eb="14">
      <t>コウゲキ</t>
    </rPh>
    <rPh sb="27" eb="29">
      <t>バアイ</t>
    </rPh>
    <rPh sb="30" eb="31">
      <t>キミ</t>
    </rPh>
    <rPh sb="34" eb="36">
      <t>コウゲキ</t>
    </rPh>
    <rPh sb="38" eb="40">
      <t>モクヒョウ</t>
    </rPh>
    <rPh sb="41" eb="42">
      <t>タイ</t>
    </rPh>
    <rPh sb="43" eb="45">
      <t>コウゲキ</t>
    </rPh>
    <phoneticPr fontId="1"/>
  </si>
  <si>
    <r>
      <t>　　[秘術]パワーの攻撃Ｒにおいて</t>
    </r>
    <r>
      <rPr>
        <b/>
        <sz val="11"/>
        <color rgb="FFFF0000"/>
        <rFont val="ＭＳ Ｐゴシック"/>
        <family val="3"/>
        <charset val="128"/>
        <scheme val="minor"/>
      </rPr>
      <t>１</t>
    </r>
    <r>
      <rPr>
        <sz val="11"/>
        <color theme="1"/>
        <rFont val="ＭＳ Ｐゴシック"/>
        <family val="3"/>
        <charset val="128"/>
        <scheme val="minor"/>
      </rPr>
      <t>をロールした場合、君は自分の周囲５マス以内にいる</t>
    </r>
    <rPh sb="27" eb="28">
      <t>キミ</t>
    </rPh>
    <rPh sb="29" eb="31">
      <t>ジブン</t>
    </rPh>
    <rPh sb="32" eb="34">
      <t>シュウイ</t>
    </rPh>
    <rPh sb="37" eb="39">
      <t>イナイ</t>
    </rPh>
    <phoneticPr fontId="1"/>
  </si>
  <si>
    <r>
      <t>　　それを行う事を理由にした</t>
    </r>
    <r>
      <rPr>
        <b/>
        <sz val="11"/>
        <color rgb="FFFF0000"/>
        <rFont val="ＭＳ Ｐゴシック"/>
        <family val="3"/>
        <charset val="128"/>
        <scheme val="minor"/>
      </rPr>
      <t>機会攻撃を誘発しない</t>
    </r>
    <r>
      <rPr>
        <sz val="11"/>
        <color theme="1"/>
        <rFont val="ＭＳ Ｐゴシック"/>
        <family val="3"/>
        <charset val="128"/>
        <scheme val="minor"/>
      </rPr>
      <t>。</t>
    </r>
    <rPh sb="5" eb="6">
      <t>オコナ</t>
    </rPh>
    <rPh sb="7" eb="8">
      <t>コト</t>
    </rPh>
    <rPh sb="9" eb="11">
      <t>リユウ</t>
    </rPh>
    <rPh sb="14" eb="16">
      <t>キカイ</t>
    </rPh>
    <rPh sb="16" eb="18">
      <t>コウゲキ</t>
    </rPh>
    <rPh sb="19" eb="21">
      <t>ユウハツ</t>
    </rPh>
    <phoneticPr fontId="1"/>
  </si>
  <si>
    <t>①ほとんどの攻撃に影響するランダム要素　（アクシデントの類、多し）</t>
    <rPh sb="6" eb="8">
      <t>コウゲキ</t>
    </rPh>
    <rPh sb="9" eb="11">
      <t>エイキョウ</t>
    </rPh>
    <rPh sb="17" eb="19">
      <t>ヨウソ</t>
    </rPh>
    <rPh sb="28" eb="29">
      <t>タグイ</t>
    </rPh>
    <rPh sb="30" eb="31">
      <t>オオ</t>
    </rPh>
    <phoneticPr fontId="1"/>
  </si>
  <si>
    <t>　　そもそも近接基礎攻撃の性能的には何とＲＪに次ぐ（大爆笑）ので、</t>
    <rPh sb="6" eb="8">
      <t>キンセツ</t>
    </rPh>
    <rPh sb="8" eb="10">
      <t>キソ</t>
    </rPh>
    <rPh sb="10" eb="12">
      <t>コウゲキ</t>
    </rPh>
    <rPh sb="13" eb="16">
      <t>セイノウテキ</t>
    </rPh>
    <rPh sb="18" eb="19">
      <t>ナン</t>
    </rPh>
    <rPh sb="23" eb="24">
      <t>ツ</t>
    </rPh>
    <rPh sb="26" eb="27">
      <t>ダイ</t>
    </rPh>
    <rPh sb="27" eb="28">
      <t>バク</t>
    </rPh>
    <rPh sb="28" eb="29">
      <t>ワライ</t>
    </rPh>
    <phoneticPr fontId="1"/>
  </si>
  <si>
    <t>　　オテギヌが無力化された時のアイアー予備要員としてはボーダーラインだったりするのか？</t>
    <rPh sb="7" eb="10">
      <t>ムリョクカ</t>
    </rPh>
    <rPh sb="13" eb="14">
      <t>トキ</t>
    </rPh>
    <rPh sb="19" eb="21">
      <t>ヨビ</t>
    </rPh>
    <rPh sb="21" eb="23">
      <t>ヨウイン</t>
    </rPh>
    <phoneticPr fontId="1"/>
  </si>
  <si>
    <t>　　基本的に使わないが、数字的には最低限の実用レベル。</t>
    <rPh sb="2" eb="4">
      <t>キホン</t>
    </rPh>
    <rPh sb="4" eb="5">
      <t>テキ</t>
    </rPh>
    <rPh sb="6" eb="7">
      <t>ツカ</t>
    </rPh>
    <rPh sb="12" eb="15">
      <t>スウジテキ</t>
    </rPh>
    <rPh sb="17" eb="20">
      <t>サイテイゲン</t>
    </rPh>
    <rPh sb="21" eb="23">
      <t>ジツヨウ</t>
    </rPh>
    <phoneticPr fontId="1"/>
  </si>
  <si>
    <t>①対反応（暴れ役や兵士役を素早く抹殺）</t>
    <rPh sb="1" eb="2">
      <t>タイ</t>
    </rPh>
    <rPh sb="2" eb="3">
      <t>ハン</t>
    </rPh>
    <rPh sb="3" eb="4">
      <t>オウ</t>
    </rPh>
    <rPh sb="5" eb="6">
      <t>アバ</t>
    </rPh>
    <rPh sb="7" eb="8">
      <t>ヤク</t>
    </rPh>
    <rPh sb="9" eb="11">
      <t>ヘイシ</t>
    </rPh>
    <rPh sb="11" eb="12">
      <t>ヤク</t>
    </rPh>
    <rPh sb="13" eb="15">
      <t>スバヤ</t>
    </rPh>
    <rPh sb="16" eb="18">
      <t>マッサツ</t>
    </rPh>
    <phoneticPr fontId="1"/>
  </si>
  <si>
    <t>メインの遠隔基礎攻撃はコレで決まり！</t>
    <rPh sb="4" eb="6">
      <t>エンカク</t>
    </rPh>
    <rPh sb="6" eb="8">
      <t>キソ</t>
    </rPh>
    <rPh sb="8" eb="10">
      <t>コウゲキ</t>
    </rPh>
    <rPh sb="14" eb="15">
      <t>キ</t>
    </rPh>
    <phoneticPr fontId="1"/>
  </si>
  <si>
    <t>サブの遠隔基礎攻撃として納得の性能！</t>
    <rPh sb="3" eb="5">
      <t>エンカク</t>
    </rPh>
    <rPh sb="5" eb="7">
      <t>キソ</t>
    </rPh>
    <rPh sb="7" eb="9">
      <t>コウゲキ</t>
    </rPh>
    <rPh sb="12" eb="14">
      <t>ナットク</t>
    </rPh>
    <rPh sb="15" eb="17">
      <t>セイノウ</t>
    </rPh>
    <phoneticPr fontId="1"/>
  </si>
  <si>
    <r>
      <t>適切に使えば、近接攻撃しか持っていない敵は</t>
    </r>
    <r>
      <rPr>
        <b/>
        <sz val="11"/>
        <color rgb="FFFF0000"/>
        <rFont val="ＭＳ Ｐゴシック"/>
        <family val="3"/>
        <charset val="128"/>
        <scheme val="minor"/>
      </rPr>
      <t>１ターン休み</t>
    </r>
    <r>
      <rPr>
        <sz val="11"/>
        <color theme="1"/>
        <rFont val="ＭＳ Ｐゴシック"/>
        <family val="2"/>
        <charset val="128"/>
        <scheme val="minor"/>
      </rPr>
      <t>になる可能性が非常に高い。</t>
    </r>
    <rPh sb="0" eb="2">
      <t>テキセツ</t>
    </rPh>
    <rPh sb="3" eb="4">
      <t>ツカ</t>
    </rPh>
    <rPh sb="7" eb="9">
      <t>キンセツ</t>
    </rPh>
    <rPh sb="9" eb="11">
      <t>コウゲキ</t>
    </rPh>
    <rPh sb="13" eb="14">
      <t>モ</t>
    </rPh>
    <rPh sb="19" eb="20">
      <t>テキ</t>
    </rPh>
    <rPh sb="25" eb="26">
      <t>ヤス</t>
    </rPh>
    <rPh sb="30" eb="33">
      <t>カノウセイ</t>
    </rPh>
    <rPh sb="34" eb="36">
      <t>ヒジョウ</t>
    </rPh>
    <rPh sb="37" eb="38">
      <t>タカ</t>
    </rPh>
    <phoneticPr fontId="1"/>
  </si>
  <si>
    <r>
      <t>特に</t>
    </r>
    <r>
      <rPr>
        <b/>
        <sz val="11"/>
        <color rgb="FFFF0000"/>
        <rFont val="ＭＳ Ｐゴシック"/>
        <family val="3"/>
        <charset val="128"/>
        <scheme val="minor"/>
      </rPr>
      <t>突撃を待機</t>
    </r>
    <r>
      <rPr>
        <sz val="11"/>
        <color theme="1"/>
        <rFont val="ＭＳ Ｐゴシック"/>
        <family val="2"/>
        <charset val="128"/>
        <scheme val="minor"/>
      </rPr>
      <t>しているような敵の怪しい動きを前方に発見したら、遠慮せずにＧＯ！</t>
    </r>
    <rPh sb="0" eb="1">
      <t>トク</t>
    </rPh>
    <rPh sb="2" eb="4">
      <t>トツゲキ</t>
    </rPh>
    <rPh sb="5" eb="7">
      <t>タイキ</t>
    </rPh>
    <rPh sb="14" eb="15">
      <t>テキ</t>
    </rPh>
    <rPh sb="16" eb="17">
      <t>アヤ</t>
    </rPh>
    <rPh sb="19" eb="20">
      <t>ウゴ</t>
    </rPh>
    <rPh sb="22" eb="24">
      <t>ゼンポウ</t>
    </rPh>
    <rPh sb="25" eb="27">
      <t>ハッケン</t>
    </rPh>
    <rPh sb="31" eb="33">
      <t>エンリョ</t>
    </rPh>
    <phoneticPr fontId="1"/>
  </si>
  <si>
    <t>イーライの各種コンセプト PICK UP！</t>
    <rPh sb="5" eb="6">
      <t>カク</t>
    </rPh>
    <rPh sb="6" eb="7">
      <t>タネ</t>
    </rPh>
    <phoneticPr fontId="1"/>
  </si>
  <si>
    <t>トリガーとなった敵</t>
    <rPh sb="8" eb="9">
      <t>テキ</t>
    </rPh>
    <phoneticPr fontId="1"/>
  </si>
  <si>
    <r>
      <t>使用者から５マス以内の１体の敵が使用者に</t>
    </r>
    <r>
      <rPr>
        <b/>
        <sz val="11"/>
        <color rgb="FFFF0000"/>
        <rFont val="ＭＳ Ｐゴシック"/>
        <family val="3"/>
        <charset val="128"/>
        <scheme val="minor"/>
      </rPr>
      <t>攻撃をヒット</t>
    </r>
    <r>
      <rPr>
        <sz val="11"/>
        <color theme="1"/>
        <rFont val="ＭＳ Ｐゴシック"/>
        <family val="2"/>
        <charset val="128"/>
        <scheme val="minor"/>
      </rPr>
      <t>させる。</t>
    </r>
    <rPh sb="0" eb="3">
      <t>シヨウシャ</t>
    </rPh>
    <rPh sb="8" eb="10">
      <t>イナイ</t>
    </rPh>
    <rPh sb="12" eb="13">
      <t>タイ</t>
    </rPh>
    <rPh sb="14" eb="15">
      <t>テキ</t>
    </rPh>
    <rPh sb="16" eb="19">
      <t>シヨウシャ</t>
    </rPh>
    <rPh sb="20" eb="22">
      <t>コウゲキ</t>
    </rPh>
    <phoneticPr fontId="1"/>
  </si>
  <si>
    <r>
      <t>　　その</t>
    </r>
    <r>
      <rPr>
        <b/>
        <sz val="11"/>
        <color rgb="FFFF0000"/>
        <rFont val="ＭＳ Ｐゴシック"/>
        <family val="3"/>
        <charset val="128"/>
        <scheme val="minor"/>
      </rPr>
      <t>強制移動のマスは1マス増加</t>
    </r>
    <r>
      <rPr>
        <sz val="11"/>
        <color theme="1"/>
        <rFont val="ＭＳ Ｐゴシック"/>
        <family val="3"/>
        <charset val="128"/>
        <scheme val="minor"/>
      </rPr>
      <t>する。</t>
    </r>
    <rPh sb="4" eb="6">
      <t>キョウセイ</t>
    </rPh>
    <rPh sb="6" eb="8">
      <t>イドウ</t>
    </rPh>
    <rPh sb="15" eb="17">
      <t>ゾウカ</t>
    </rPh>
    <phoneticPr fontId="1"/>
  </si>
  <si>
    <r>
      <rPr>
        <b/>
        <sz val="14"/>
        <color rgb="FFFF0000"/>
        <rFont val="ＭＳ Ｐゴシック"/>
        <family val="3"/>
        <charset val="128"/>
        <scheme val="minor"/>
      </rPr>
      <t>５Ｘ５</t>
    </r>
    <r>
      <rPr>
        <b/>
        <sz val="12"/>
        <color rgb="FFFF0000"/>
        <rFont val="ＭＳ Ｐゴシック"/>
        <family val="3"/>
        <charset val="128"/>
        <scheme val="minor"/>
      </rPr>
      <t>の範囲</t>
    </r>
    <r>
      <rPr>
        <b/>
        <sz val="11"/>
        <color rgb="FFFF0000"/>
        <rFont val="ＭＳ Ｐゴシック"/>
        <family val="3"/>
        <charset val="128"/>
        <scheme val="minor"/>
      </rPr>
      <t>は</t>
    </r>
    <r>
      <rPr>
        <b/>
        <sz val="12"/>
        <color rgb="FFFF0000"/>
        <rFont val="ＭＳ Ｐゴシック"/>
        <family val="3"/>
        <charset val="128"/>
        <scheme val="minor"/>
      </rPr>
      <t>かなり広い！　</t>
    </r>
    <r>
      <rPr>
        <b/>
        <sz val="14"/>
        <color rgb="FFFF0000"/>
        <rFont val="ＭＳ Ｐゴシック"/>
        <family val="3"/>
        <charset val="128"/>
        <scheme val="minor"/>
      </rPr>
      <t>３Ｘ３</t>
    </r>
    <r>
      <rPr>
        <b/>
        <sz val="12"/>
        <color rgb="FFFF0000"/>
        <rFont val="ＭＳ Ｐゴシック"/>
        <family val="3"/>
        <charset val="128"/>
        <scheme val="minor"/>
      </rPr>
      <t>の範囲</t>
    </r>
    <r>
      <rPr>
        <b/>
        <sz val="11"/>
        <color rgb="FFFF0000"/>
        <rFont val="ＭＳ Ｐゴシック"/>
        <family val="3"/>
        <charset val="128"/>
        <scheme val="minor"/>
      </rPr>
      <t>と</t>
    </r>
    <r>
      <rPr>
        <b/>
        <sz val="12"/>
        <color rgb="FFFF0000"/>
        <rFont val="ＭＳ Ｐゴシック"/>
        <family val="3"/>
        <charset val="128"/>
        <scheme val="minor"/>
      </rPr>
      <t>使い分け</t>
    </r>
    <r>
      <rPr>
        <b/>
        <sz val="11"/>
        <color rgb="FFFF0000"/>
        <rFont val="ＭＳ Ｐゴシック"/>
        <family val="3"/>
        <charset val="128"/>
        <scheme val="minor"/>
      </rPr>
      <t>が</t>
    </r>
    <r>
      <rPr>
        <b/>
        <sz val="12"/>
        <color rgb="FFFF0000"/>
        <rFont val="ＭＳ Ｐゴシック"/>
        <family val="3"/>
        <charset val="128"/>
        <scheme val="minor"/>
      </rPr>
      <t>可能</t>
    </r>
    <r>
      <rPr>
        <b/>
        <sz val="11"/>
        <color rgb="FFFF0000"/>
        <rFont val="ＭＳ Ｐゴシック"/>
        <family val="3"/>
        <charset val="128"/>
        <scheme val="minor"/>
      </rPr>
      <t>で</t>
    </r>
    <r>
      <rPr>
        <b/>
        <sz val="12"/>
        <color rgb="FFFF0000"/>
        <rFont val="ＭＳ Ｐゴシック"/>
        <family val="3"/>
        <charset val="128"/>
        <scheme val="minor"/>
      </rPr>
      <t>非常に融通が効く</t>
    </r>
    <rPh sb="4" eb="6">
      <t>ハンイ</t>
    </rPh>
    <rPh sb="10" eb="11">
      <t>ヒロ</t>
    </rPh>
    <rPh sb="21" eb="22">
      <t>ツカ</t>
    </rPh>
    <rPh sb="23" eb="24">
      <t>ワ</t>
    </rPh>
    <rPh sb="26" eb="28">
      <t>カノウ</t>
    </rPh>
    <rPh sb="29" eb="31">
      <t>ヒジョウ</t>
    </rPh>
    <rPh sb="32" eb="34">
      <t>ユウヅウ</t>
    </rPh>
    <rPh sb="35" eb="36">
      <t>キ</t>
    </rPh>
    <phoneticPr fontId="1"/>
  </si>
  <si>
    <t>③かなり効果範囲が広いので、雑魚掃除に使っても全然ＯＫ！</t>
    <rPh sb="4" eb="6">
      <t>コウカ</t>
    </rPh>
    <rPh sb="6" eb="8">
      <t>ハンイ</t>
    </rPh>
    <rPh sb="9" eb="10">
      <t>ヒロ</t>
    </rPh>
    <rPh sb="14" eb="16">
      <t>ザコ</t>
    </rPh>
    <rPh sb="16" eb="18">
      <t>ソウジ</t>
    </rPh>
    <rPh sb="19" eb="20">
      <t>ツカ</t>
    </rPh>
    <rPh sb="23" eb="25">
      <t>ゼンゼン</t>
    </rPh>
    <phoneticPr fontId="1"/>
  </si>
  <si>
    <t>①集中攻撃　（味方の伏せ＆幻惑パワーの充実故に高確率で敵は伏せ中）</t>
    <rPh sb="1" eb="3">
      <t>シュウチュウ</t>
    </rPh>
    <rPh sb="3" eb="5">
      <t>コウゲキ</t>
    </rPh>
    <rPh sb="7" eb="9">
      <t>ミカタ</t>
    </rPh>
    <rPh sb="10" eb="11">
      <t>フ</t>
    </rPh>
    <rPh sb="13" eb="15">
      <t>ゲンワク</t>
    </rPh>
    <rPh sb="19" eb="21">
      <t>ジュウジツ</t>
    </rPh>
    <rPh sb="21" eb="22">
      <t>ユエ</t>
    </rPh>
    <rPh sb="23" eb="26">
      <t>コウカクリツ</t>
    </rPh>
    <rPh sb="27" eb="28">
      <t>テキ</t>
    </rPh>
    <rPh sb="29" eb="30">
      <t>フ</t>
    </rPh>
    <rPh sb="31" eb="32">
      <t>チュウ</t>
    </rPh>
    <phoneticPr fontId="1"/>
  </si>
  <si>
    <t>②崖っぷちの敵を突き落とすのに３回も挑戦可能</t>
    <rPh sb="1" eb="2">
      <t>ガケ</t>
    </rPh>
    <rPh sb="6" eb="7">
      <t>テキ</t>
    </rPh>
    <rPh sb="8" eb="9">
      <t>ツ</t>
    </rPh>
    <rPh sb="10" eb="11">
      <t>オ</t>
    </rPh>
    <rPh sb="16" eb="17">
      <t>カイ</t>
    </rPh>
    <rPh sb="18" eb="20">
      <t>チョウセン</t>
    </rPh>
    <rPh sb="20" eb="22">
      <t>カノウ</t>
    </rPh>
    <phoneticPr fontId="1"/>
  </si>
  <si>
    <t>ただでは転ばぬ～とのシナジーが皆無である点のみすこぶる残念・・・。</t>
    <rPh sb="4" eb="5">
      <t>コロ</t>
    </rPh>
    <rPh sb="15" eb="17">
      <t>カイム</t>
    </rPh>
    <rPh sb="20" eb="21">
      <t>テン</t>
    </rPh>
    <rPh sb="27" eb="29">
      <t>ザンネン</t>
    </rPh>
    <phoneticPr fontId="1"/>
  </si>
  <si>
    <t>標準アクションで撃つ時に区域移動用の移動アクションを残しておく事を忘れずに！</t>
    <rPh sb="0" eb="2">
      <t>ヒョウジュン</t>
    </rPh>
    <rPh sb="8" eb="9">
      <t>ウ</t>
    </rPh>
    <rPh sb="10" eb="11">
      <t>トキ</t>
    </rPh>
    <rPh sb="12" eb="14">
      <t>クイキ</t>
    </rPh>
    <rPh sb="14" eb="17">
      <t>イドウヨウ</t>
    </rPh>
    <rPh sb="18" eb="20">
      <t>イドウ</t>
    </rPh>
    <rPh sb="26" eb="27">
      <t>ノコ</t>
    </rPh>
    <rPh sb="31" eb="32">
      <t>コト</t>
    </rPh>
    <rPh sb="33" eb="34">
      <t>ワス</t>
    </rPh>
    <phoneticPr fontId="1"/>
  </si>
  <si>
    <t>敵味方問わず確定横滑りの区域は完全にチート。　遭遇終了まで維持する価値大アリ。</t>
    <rPh sb="0" eb="3">
      <t>テキミカタ</t>
    </rPh>
    <rPh sb="3" eb="4">
      <t>ト</t>
    </rPh>
    <rPh sb="6" eb="8">
      <t>カクテイ</t>
    </rPh>
    <rPh sb="8" eb="10">
      <t>ヨコスベ</t>
    </rPh>
    <rPh sb="12" eb="14">
      <t>クイキ</t>
    </rPh>
    <rPh sb="15" eb="17">
      <t>カンゼン</t>
    </rPh>
    <rPh sb="23" eb="25">
      <t>ソウグウ</t>
    </rPh>
    <rPh sb="25" eb="27">
      <t>シュウリョウ</t>
    </rPh>
    <rPh sb="29" eb="31">
      <t>イジ</t>
    </rPh>
    <rPh sb="33" eb="35">
      <t>カチ</t>
    </rPh>
    <rPh sb="35" eb="36">
      <t>オオ</t>
    </rPh>
    <phoneticPr fontId="1"/>
  </si>
  <si>
    <t>スラーズ・ギャンビット</t>
    <phoneticPr fontId="1"/>
  </si>
  <si>
    <t>　　正直言って性能が段違いで比較するのも（以下略）。</t>
    <rPh sb="2" eb="4">
      <t>ショウジキ</t>
    </rPh>
    <rPh sb="4" eb="5">
      <t>イ</t>
    </rPh>
    <rPh sb="7" eb="9">
      <t>セイノウ</t>
    </rPh>
    <rPh sb="10" eb="12">
      <t>ダンチガ</t>
    </rPh>
    <rPh sb="14" eb="16">
      <t>ヒカク</t>
    </rPh>
    <rPh sb="21" eb="24">
      <t>イカリャク</t>
    </rPh>
    <phoneticPr fontId="1"/>
  </si>
  <si>
    <t>セカンド・チャンス</t>
    <phoneticPr fontId="1"/>
  </si>
  <si>
    <t>ついでに掴みから脱出できたり、位置調整できたりで融通が効くし。</t>
    <rPh sb="4" eb="5">
      <t>ツカ</t>
    </rPh>
    <rPh sb="8" eb="10">
      <t>ダッシュツ</t>
    </rPh>
    <rPh sb="15" eb="17">
      <t>イチ</t>
    </rPh>
    <rPh sb="17" eb="19">
      <t>チョウセイ</t>
    </rPh>
    <rPh sb="24" eb="26">
      <t>ユウヅウ</t>
    </rPh>
    <rPh sb="27" eb="28">
      <t>キ</t>
    </rPh>
    <phoneticPr fontId="1"/>
  </si>
  <si>
    <t>　　制限が若干厳しいが、あっちは確実に回避可能・・・。</t>
    <rPh sb="2" eb="4">
      <t>セイゲン</t>
    </rPh>
    <rPh sb="5" eb="7">
      <t>ジャッカン</t>
    </rPh>
    <rPh sb="7" eb="8">
      <t>キビ</t>
    </rPh>
    <rPh sb="16" eb="18">
      <t>カクジツ</t>
    </rPh>
    <rPh sb="19" eb="21">
      <t>カイヒ</t>
    </rPh>
    <rPh sb="21" eb="23">
      <t>カノウ</t>
    </rPh>
    <phoneticPr fontId="1"/>
  </si>
  <si>
    <t>　　残念ながらイーライにとっては最弱即応パワーなので、色々割り切って諦めよう（笑）。</t>
    <rPh sb="2" eb="4">
      <t>ザンネン</t>
    </rPh>
    <rPh sb="16" eb="17">
      <t>サイ</t>
    </rPh>
    <rPh sb="17" eb="18">
      <t>ジャク</t>
    </rPh>
    <rPh sb="18" eb="20">
      <t>ソクオウ</t>
    </rPh>
    <rPh sb="27" eb="29">
      <t>イロイロ</t>
    </rPh>
    <rPh sb="29" eb="30">
      <t>ワ</t>
    </rPh>
    <rPh sb="31" eb="32">
      <t>キ</t>
    </rPh>
    <rPh sb="34" eb="35">
      <t>アキラ</t>
    </rPh>
    <rPh sb="39" eb="40">
      <t>ワライ</t>
    </rPh>
    <phoneticPr fontId="1"/>
  </si>
  <si>
    <t>　　攻撃されたら即応パワーで逃げる前提で、ガンガン敵に接近する！</t>
    <rPh sb="2" eb="4">
      <t>コウゲキ</t>
    </rPh>
    <rPh sb="8" eb="10">
      <t>ソクオウ</t>
    </rPh>
    <rPh sb="14" eb="15">
      <t>ニ</t>
    </rPh>
    <rPh sb="17" eb="19">
      <t>ゼンテイ</t>
    </rPh>
    <rPh sb="25" eb="26">
      <t>テキ</t>
    </rPh>
    <rPh sb="27" eb="29">
      <t>セッキン</t>
    </rPh>
    <phoneticPr fontId="1"/>
  </si>
  <si>
    <t>　　大概、幻惑や朦朧しちゃう時は範囲攻撃を喰らう時だから対策としては無双の意志よりも優秀？</t>
    <rPh sb="2" eb="4">
      <t>タイガイ</t>
    </rPh>
    <rPh sb="5" eb="7">
      <t>ゲンワク</t>
    </rPh>
    <rPh sb="8" eb="10">
      <t>モウロウ</t>
    </rPh>
    <rPh sb="14" eb="15">
      <t>トキ</t>
    </rPh>
    <rPh sb="16" eb="18">
      <t>ハンイ</t>
    </rPh>
    <rPh sb="18" eb="20">
      <t>コウゲキ</t>
    </rPh>
    <rPh sb="21" eb="22">
      <t>ク</t>
    </rPh>
    <rPh sb="24" eb="25">
      <t>トキ</t>
    </rPh>
    <rPh sb="28" eb="30">
      <t>タイサク</t>
    </rPh>
    <rPh sb="34" eb="36">
      <t>ムソウ</t>
    </rPh>
    <rPh sb="37" eb="39">
      <t>イシ</t>
    </rPh>
    <rPh sb="42" eb="44">
      <t>ユウシュウ</t>
    </rPh>
    <phoneticPr fontId="1"/>
  </si>
  <si>
    <r>
      <t>　　</t>
    </r>
    <r>
      <rPr>
        <b/>
        <sz val="11"/>
        <color rgb="FFFF0000"/>
        <rFont val="ＭＳ Ｐゴシック"/>
        <family val="3"/>
        <charset val="128"/>
        <scheme val="minor"/>
      </rPr>
      <t>ヒットした時しか使えない</t>
    </r>
    <r>
      <rPr>
        <sz val="11"/>
        <color theme="1"/>
        <rFont val="ＭＳ Ｐゴシック"/>
        <family val="2"/>
        <charset val="128"/>
        <scheme val="minor"/>
      </rPr>
      <t>ので、出し惜しみする理由が無く判断が楽チン！</t>
    </r>
    <rPh sb="7" eb="8">
      <t>トキ</t>
    </rPh>
    <rPh sb="10" eb="11">
      <t>ツカ</t>
    </rPh>
    <rPh sb="17" eb="18">
      <t>ダ</t>
    </rPh>
    <rPh sb="19" eb="20">
      <t>オ</t>
    </rPh>
    <rPh sb="24" eb="26">
      <t>リユウ</t>
    </rPh>
    <rPh sb="27" eb="28">
      <t>ナ</t>
    </rPh>
    <rPh sb="29" eb="31">
      <t>ハンダン</t>
    </rPh>
    <rPh sb="32" eb="33">
      <t>ラク</t>
    </rPh>
    <phoneticPr fontId="1"/>
  </si>
  <si>
    <t>②範囲攻撃を喰らうまでは前に出て頑張る</t>
    <rPh sb="12" eb="13">
      <t>マエ</t>
    </rPh>
    <rPh sb="14" eb="15">
      <t>デ</t>
    </rPh>
    <rPh sb="16" eb="18">
      <t>ガンバ</t>
    </rPh>
    <phoneticPr fontId="1"/>
  </si>
  <si>
    <t>　　イーライが前に出るデメリットは主に味方と一緒に範囲攻撃に巻き込まれる事だったが、</t>
    <rPh sb="7" eb="8">
      <t>マエ</t>
    </rPh>
    <rPh sb="9" eb="10">
      <t>デ</t>
    </rPh>
    <rPh sb="17" eb="18">
      <t>オモ</t>
    </rPh>
    <rPh sb="19" eb="21">
      <t>ミカタ</t>
    </rPh>
    <rPh sb="22" eb="24">
      <t>イッショ</t>
    </rPh>
    <rPh sb="25" eb="27">
      <t>ハンイ</t>
    </rPh>
    <rPh sb="27" eb="29">
      <t>コウゲキ</t>
    </rPh>
    <rPh sb="30" eb="31">
      <t>マ</t>
    </rPh>
    <rPh sb="32" eb="33">
      <t>コ</t>
    </rPh>
    <rPh sb="36" eb="37">
      <t>コト</t>
    </rPh>
    <phoneticPr fontId="1"/>
  </si>
  <si>
    <t>　　正直言って今後、いつアイアーが無力化されてもおかしくない以上、遭遇の序盤は特に</t>
    <rPh sb="2" eb="4">
      <t>ショウジキ</t>
    </rPh>
    <rPh sb="4" eb="5">
      <t>イ</t>
    </rPh>
    <rPh sb="7" eb="9">
      <t>コンゴ</t>
    </rPh>
    <rPh sb="17" eb="20">
      <t>ムリョクカ</t>
    </rPh>
    <rPh sb="30" eb="32">
      <t>イジョウ</t>
    </rPh>
    <rPh sb="33" eb="35">
      <t>ソウグウ</t>
    </rPh>
    <rPh sb="36" eb="38">
      <t>ジョバン</t>
    </rPh>
    <rPh sb="39" eb="40">
      <t>トク</t>
    </rPh>
    <phoneticPr fontId="1"/>
  </si>
  <si>
    <t>　　このパワーのお陰で一度喰らうまでは前で粘り続ける事が可能になったと解釈可能！</t>
    <rPh sb="9" eb="10">
      <t>カゲ</t>
    </rPh>
    <rPh sb="11" eb="13">
      <t>イチド</t>
    </rPh>
    <rPh sb="13" eb="14">
      <t>ク</t>
    </rPh>
    <rPh sb="19" eb="20">
      <t>マエ</t>
    </rPh>
    <rPh sb="21" eb="22">
      <t>ネバ</t>
    </rPh>
    <rPh sb="23" eb="24">
      <t>ツヅ</t>
    </rPh>
    <rPh sb="26" eb="27">
      <t>コト</t>
    </rPh>
    <rPh sb="28" eb="30">
      <t>カノウ</t>
    </rPh>
    <rPh sb="35" eb="37">
      <t>カイシャク</t>
    </rPh>
    <rPh sb="37" eb="39">
      <t>カノウ</t>
    </rPh>
    <phoneticPr fontId="1"/>
  </si>
  <si>
    <t>　　前に出ろ出ろと言っても、シェリーの５マス以内をキープしろってだけで、</t>
    <rPh sb="2" eb="3">
      <t>マエ</t>
    </rPh>
    <rPh sb="4" eb="5">
      <t>デ</t>
    </rPh>
    <rPh sb="6" eb="7">
      <t>デ</t>
    </rPh>
    <rPh sb="9" eb="10">
      <t>イ</t>
    </rPh>
    <rPh sb="22" eb="24">
      <t>イナイ</t>
    </rPh>
    <phoneticPr fontId="1"/>
  </si>
  <si>
    <r>
      <t>　　</t>
    </r>
    <r>
      <rPr>
        <b/>
        <sz val="11"/>
        <color rgb="FFFF0000"/>
        <rFont val="ＭＳ Ｐゴシック"/>
        <family val="3"/>
        <charset val="128"/>
        <scheme val="minor"/>
      </rPr>
      <t>シェリーの５マス以内でイーライが常に遠隔基礎攻撃をスタンバる</t>
    </r>
    <r>
      <rPr>
        <sz val="11"/>
        <rFont val="ＭＳ Ｐゴシック"/>
        <family val="3"/>
        <charset val="128"/>
        <scheme val="minor"/>
      </rPr>
      <t>のが理想的。</t>
    </r>
    <rPh sb="10" eb="12">
      <t>イナイ</t>
    </rPh>
    <rPh sb="18" eb="19">
      <t>ツネ</t>
    </rPh>
    <rPh sb="20" eb="22">
      <t>エンカク</t>
    </rPh>
    <rPh sb="22" eb="24">
      <t>キソ</t>
    </rPh>
    <rPh sb="24" eb="26">
      <t>コウゲキ</t>
    </rPh>
    <rPh sb="34" eb="37">
      <t>リソウテキ</t>
    </rPh>
    <phoneticPr fontId="1"/>
  </si>
  <si>
    <t>　　むしろ、今まで以上に前衛がしっかりしてイーライを守る必要がある。</t>
    <rPh sb="6" eb="7">
      <t>イマ</t>
    </rPh>
    <rPh sb="9" eb="11">
      <t>イジョウ</t>
    </rPh>
    <rPh sb="12" eb="14">
      <t>ゼンエイ</t>
    </rPh>
    <rPh sb="26" eb="27">
      <t>マモ</t>
    </rPh>
    <rPh sb="28" eb="30">
      <t>ヒツヨウ</t>
    </rPh>
    <phoneticPr fontId="1"/>
  </si>
  <si>
    <t>　　別にイーライが味方の盾になる事まで期待されている訳では決してない！</t>
    <rPh sb="2" eb="3">
      <t>ベツ</t>
    </rPh>
    <rPh sb="9" eb="11">
      <t>ミカタ</t>
    </rPh>
    <rPh sb="12" eb="13">
      <t>タテ</t>
    </rPh>
    <rPh sb="16" eb="17">
      <t>コト</t>
    </rPh>
    <rPh sb="19" eb="21">
      <t>キタイ</t>
    </rPh>
    <rPh sb="26" eb="27">
      <t>ワケ</t>
    </rPh>
    <rPh sb="29" eb="30">
      <t>ケッ</t>
    </rPh>
    <phoneticPr fontId="1"/>
  </si>
  <si>
    <t>　　いよいよ範囲攻撃を喰らってしまったら、即応で一旦引き下がって様子見したい。</t>
    <rPh sb="6" eb="10">
      <t>ハンイコウゲキ</t>
    </rPh>
    <rPh sb="11" eb="12">
      <t>ク</t>
    </rPh>
    <rPh sb="21" eb="23">
      <t>ソクオウ</t>
    </rPh>
    <rPh sb="24" eb="26">
      <t>イッタン</t>
    </rPh>
    <rPh sb="26" eb="27">
      <t>ヒ</t>
    </rPh>
    <rPh sb="28" eb="29">
      <t>サ</t>
    </rPh>
    <rPh sb="32" eb="35">
      <t>ヨウスミ</t>
    </rPh>
    <phoneticPr fontId="1"/>
  </si>
  <si>
    <t>③一旦喰らったらとりあえず引き下がる</t>
    <rPh sb="1" eb="3">
      <t>イッタン</t>
    </rPh>
    <rPh sb="3" eb="4">
      <t>ク</t>
    </rPh>
    <rPh sb="13" eb="14">
      <t>ヒ</t>
    </rPh>
    <rPh sb="15" eb="16">
      <t>サ</t>
    </rPh>
    <phoneticPr fontId="1"/>
  </si>
  <si>
    <t>　　まァ心衣やスタッフ練達もあるので、意外と安全なのかも？</t>
    <rPh sb="4" eb="5">
      <t>ココロ</t>
    </rPh>
    <rPh sb="5" eb="6">
      <t>キヌ</t>
    </rPh>
    <rPh sb="11" eb="13">
      <t>レンタツ</t>
    </rPh>
    <rPh sb="19" eb="21">
      <t>イガイ</t>
    </rPh>
    <rPh sb="22" eb="24">
      <t>アンゼン</t>
    </rPh>
    <phoneticPr fontId="1"/>
  </si>
  <si>
    <t>　　幻惑や朦朧だったら安心して二度と近付かない。　前衛は置き去りにして自己保身に専念する。</t>
    <rPh sb="2" eb="4">
      <t>ゲンワク</t>
    </rPh>
    <rPh sb="5" eb="7">
      <t>モウロウ</t>
    </rPh>
    <rPh sb="11" eb="13">
      <t>アンシン</t>
    </rPh>
    <rPh sb="15" eb="17">
      <t>ニド</t>
    </rPh>
    <rPh sb="18" eb="20">
      <t>チカヅ</t>
    </rPh>
    <rPh sb="25" eb="27">
      <t>ゼンエイ</t>
    </rPh>
    <rPh sb="28" eb="29">
      <t>オ</t>
    </rPh>
    <rPh sb="30" eb="31">
      <t>ザ</t>
    </rPh>
    <rPh sb="35" eb="37">
      <t>ジコ</t>
    </rPh>
    <rPh sb="37" eb="39">
      <t>ホシン</t>
    </rPh>
    <rPh sb="40" eb="42">
      <t>センネン</t>
    </rPh>
    <phoneticPr fontId="1"/>
  </si>
  <si>
    <t>　　減速や不動、伏せ、拘束だった場合、遭遇中にアイアーが無力化されるリスク絶大！</t>
    <rPh sb="2" eb="4">
      <t>ゲンソク</t>
    </rPh>
    <rPh sb="5" eb="7">
      <t>フドウ</t>
    </rPh>
    <rPh sb="8" eb="9">
      <t>フ</t>
    </rPh>
    <rPh sb="11" eb="13">
      <t>コウソク</t>
    </rPh>
    <rPh sb="16" eb="18">
      <t>バアイ</t>
    </rPh>
    <rPh sb="19" eb="21">
      <t>ソウグウ</t>
    </rPh>
    <rPh sb="21" eb="22">
      <t>チュウ</t>
    </rPh>
    <rPh sb="28" eb="31">
      <t>ムリョクカ</t>
    </rPh>
    <rPh sb="37" eb="38">
      <t>ゼツ</t>
    </rPh>
    <rPh sb="38" eb="39">
      <t>ダイ</t>
    </rPh>
    <phoneticPr fontId="1"/>
  </si>
  <si>
    <t>　　少々危険だが、前線に復帰してシェリーのサポートに回るべし。</t>
    <rPh sb="2" eb="4">
      <t>ショウショウ</t>
    </rPh>
    <rPh sb="4" eb="6">
      <t>キケン</t>
    </rPh>
    <rPh sb="9" eb="11">
      <t>ゼンセン</t>
    </rPh>
    <rPh sb="12" eb="14">
      <t>フッキ</t>
    </rPh>
    <rPh sb="26" eb="27">
      <t>マワ</t>
    </rPh>
    <phoneticPr fontId="1"/>
  </si>
  <si>
    <t>　　やはり心衣やスタッフ練達が生きる。</t>
    <rPh sb="5" eb="6">
      <t>ココロ</t>
    </rPh>
    <rPh sb="6" eb="7">
      <t>キヌ</t>
    </rPh>
    <rPh sb="12" eb="14">
      <t>レンタツ</t>
    </rPh>
    <rPh sb="15" eb="16">
      <t>イ</t>
    </rPh>
    <phoneticPr fontId="1"/>
  </si>
  <si>
    <t>　　機会攻撃も気にせず好きな所に行けるのは大きい。</t>
    <rPh sb="2" eb="4">
      <t>キカイ</t>
    </rPh>
    <rPh sb="4" eb="6">
      <t>コウゲキ</t>
    </rPh>
    <rPh sb="7" eb="8">
      <t>キ</t>
    </rPh>
    <rPh sb="11" eb="12">
      <t>ス</t>
    </rPh>
    <rPh sb="14" eb="15">
      <t>トコロ</t>
    </rPh>
    <rPh sb="16" eb="17">
      <t>イ</t>
    </rPh>
    <rPh sb="21" eb="22">
      <t>オオ</t>
    </rPh>
    <phoneticPr fontId="1"/>
  </si>
  <si>
    <r>
      <t>　　　　　　　　　　　　　　　　　　　　使用者は10マス瞬間移動する。　⇒　</t>
    </r>
    <r>
      <rPr>
        <b/>
        <sz val="11"/>
        <color rgb="FFFF0000"/>
        <rFont val="ＭＳ Ｐゴシック"/>
        <family val="3"/>
        <charset val="128"/>
        <scheme val="minor"/>
      </rPr>
      <t>１３マス瞬間移動</t>
    </r>
    <rPh sb="42" eb="44">
      <t>シュンカン</t>
    </rPh>
    <rPh sb="44" eb="46">
      <t>イドウ</t>
    </rPh>
    <phoneticPr fontId="1"/>
  </si>
  <si>
    <t>　　運動が必要な移動を無視できるのは楽チン。</t>
    <rPh sb="2" eb="4">
      <t>ウンドウ</t>
    </rPh>
    <rPh sb="5" eb="7">
      <t>ヒツヨウ</t>
    </rPh>
    <rPh sb="8" eb="10">
      <t>イドウ</t>
    </rPh>
    <rPh sb="11" eb="13">
      <t>ムシ</t>
    </rPh>
    <rPh sb="18" eb="19">
      <t>ラク</t>
    </rPh>
    <phoneticPr fontId="1"/>
  </si>
  <si>
    <t>　　常にシェリーの５マス以内でスタンバるには色々とハードルが高いが、</t>
    <rPh sb="2" eb="3">
      <t>ツネ</t>
    </rPh>
    <rPh sb="12" eb="14">
      <t>イナイ</t>
    </rPh>
    <rPh sb="22" eb="24">
      <t>イロイロ</t>
    </rPh>
    <rPh sb="30" eb="31">
      <t>タカ</t>
    </rPh>
    <phoneticPr fontId="1"/>
  </si>
  <si>
    <t>　　瞬間移動ならば１ターンは保証してくれるので予定が立て易い。</t>
    <rPh sb="2" eb="6">
      <t>シュンカンイドウ</t>
    </rPh>
    <rPh sb="14" eb="16">
      <t>ホショウ</t>
    </rPh>
    <rPh sb="23" eb="25">
      <t>ヨテイ</t>
    </rPh>
    <rPh sb="26" eb="27">
      <t>タ</t>
    </rPh>
    <rPh sb="28" eb="29">
      <t>ヤス</t>
    </rPh>
    <phoneticPr fontId="1"/>
  </si>
  <si>
    <t>　　移動距離の長さも全然違うが、最も大きな違いはマイナーアクションで移動可能な所！</t>
    <rPh sb="2" eb="4">
      <t>イドウ</t>
    </rPh>
    <rPh sb="4" eb="6">
      <t>キョリ</t>
    </rPh>
    <rPh sb="7" eb="8">
      <t>ナガ</t>
    </rPh>
    <rPh sb="10" eb="12">
      <t>ゼンゼン</t>
    </rPh>
    <rPh sb="12" eb="13">
      <t>チガ</t>
    </rPh>
    <rPh sb="16" eb="17">
      <t>モット</t>
    </rPh>
    <rPh sb="18" eb="19">
      <t>オオ</t>
    </rPh>
    <rPh sb="21" eb="22">
      <t>チガ</t>
    </rPh>
    <rPh sb="34" eb="36">
      <t>イドウ</t>
    </rPh>
    <rPh sb="36" eb="38">
      <t>カノウ</t>
    </rPh>
    <rPh sb="39" eb="40">
      <t>トコロ</t>
    </rPh>
    <phoneticPr fontId="1"/>
  </si>
  <si>
    <t>④インサイシヴ・ダガーの一日毎は使い所が全く違う</t>
    <rPh sb="12" eb="14">
      <t>イチニチ</t>
    </rPh>
    <rPh sb="14" eb="15">
      <t>マイ</t>
    </rPh>
    <rPh sb="16" eb="17">
      <t>ツカ</t>
    </rPh>
    <rPh sb="18" eb="19">
      <t>トコロ</t>
    </rPh>
    <rPh sb="20" eb="21">
      <t>マッタ</t>
    </rPh>
    <rPh sb="22" eb="23">
      <t>チガ</t>
    </rPh>
    <phoneticPr fontId="1"/>
  </si>
  <si>
    <t>　　現在、色々な効果のお陰で第一ターン中に最大２１マスまで移動可能。</t>
    <rPh sb="2" eb="4">
      <t>ゲンザイ</t>
    </rPh>
    <rPh sb="5" eb="7">
      <t>イロイロ</t>
    </rPh>
    <rPh sb="8" eb="10">
      <t>コウカ</t>
    </rPh>
    <rPh sb="12" eb="13">
      <t>カゲ</t>
    </rPh>
    <rPh sb="14" eb="16">
      <t>ダイイチ</t>
    </rPh>
    <rPh sb="19" eb="20">
      <t>チュウ</t>
    </rPh>
    <rPh sb="21" eb="23">
      <t>サイダイ</t>
    </rPh>
    <rPh sb="29" eb="31">
      <t>イドウ</t>
    </rPh>
    <rPh sb="31" eb="33">
      <t>カノウ</t>
    </rPh>
    <phoneticPr fontId="1"/>
  </si>
  <si>
    <r>
      <t>　　パワー[一日毎][瞬間移動]：</t>
    </r>
    <r>
      <rPr>
        <b/>
        <sz val="11"/>
        <color rgb="FFFF0000"/>
        <rFont val="ＭＳ Ｐゴシック"/>
        <family val="3"/>
        <charset val="128"/>
        <scheme val="minor"/>
      </rPr>
      <t>マイナー・アクション</t>
    </r>
    <r>
      <rPr>
        <sz val="11"/>
        <color theme="1"/>
        <rFont val="ＭＳ Ｐゴシック"/>
        <family val="3"/>
        <charset val="128"/>
        <scheme val="minor"/>
      </rPr>
      <t xml:space="preserve">
</t>
    </r>
    <phoneticPr fontId="1"/>
  </si>
  <si>
    <t>　　複雑な地形の遭遇でも高確率で先手を取る事が可能か？</t>
    <rPh sb="2" eb="4">
      <t>フクザツ</t>
    </rPh>
    <rPh sb="5" eb="7">
      <t>チケイ</t>
    </rPh>
    <rPh sb="8" eb="10">
      <t>ソウグウ</t>
    </rPh>
    <rPh sb="12" eb="15">
      <t>コウカクリツ</t>
    </rPh>
    <rPh sb="16" eb="18">
      <t>センテ</t>
    </rPh>
    <rPh sb="19" eb="20">
      <t>ト</t>
    </rPh>
    <rPh sb="21" eb="22">
      <t>コト</t>
    </rPh>
    <rPh sb="23" eb="25">
      <t>カノウ</t>
    </rPh>
    <phoneticPr fontId="1"/>
  </si>
  <si>
    <t>効果が不確実なセカンド・チャンスを使う位ならば、先にコッチを使うべきか？</t>
    <rPh sb="0" eb="2">
      <t>コウカ</t>
    </rPh>
    <rPh sb="3" eb="6">
      <t>フカクジツ</t>
    </rPh>
    <rPh sb="17" eb="18">
      <t>ツカ</t>
    </rPh>
    <rPh sb="19" eb="20">
      <t>クライ</t>
    </rPh>
    <rPh sb="24" eb="25">
      <t>サキ</t>
    </rPh>
    <rPh sb="30" eb="31">
      <t>ツカ</t>
    </rPh>
    <phoneticPr fontId="1"/>
  </si>
  <si>
    <t>　　一旦設置してしまうと移動不可能なので、長時間維持するのは困難か？</t>
    <rPh sb="2" eb="4">
      <t>イッタン</t>
    </rPh>
    <rPh sb="4" eb="6">
      <t>セッチ</t>
    </rPh>
    <rPh sb="12" eb="14">
      <t>イドウ</t>
    </rPh>
    <rPh sb="14" eb="17">
      <t>フカノウ</t>
    </rPh>
    <rPh sb="21" eb="24">
      <t>チョウジカン</t>
    </rPh>
    <rPh sb="24" eb="26">
      <t>イジ</t>
    </rPh>
    <rPh sb="30" eb="32">
      <t>コンナン</t>
    </rPh>
    <phoneticPr fontId="1"/>
  </si>
  <si>
    <t>　　味方の伏せ＆幻惑パワーで頑張って敵を区域内に釘付けするしかない・・・。</t>
    <rPh sb="2" eb="4">
      <t>ミカタ</t>
    </rPh>
    <rPh sb="5" eb="6">
      <t>フ</t>
    </rPh>
    <rPh sb="8" eb="10">
      <t>ゲンワク</t>
    </rPh>
    <rPh sb="14" eb="16">
      <t>ガンバ</t>
    </rPh>
    <rPh sb="18" eb="19">
      <t>テキ</t>
    </rPh>
    <rPh sb="20" eb="23">
      <t>クイキナイ</t>
    </rPh>
    <rPh sb="24" eb="25">
      <t>クギ</t>
    </rPh>
    <rPh sb="25" eb="26">
      <t>ヅ</t>
    </rPh>
    <phoneticPr fontId="1"/>
  </si>
  <si>
    <t>②珍しく区域が移動不可</t>
    <rPh sb="1" eb="2">
      <t>メズラ</t>
    </rPh>
    <rPh sb="4" eb="6">
      <t>クイキ</t>
    </rPh>
    <rPh sb="7" eb="9">
      <t>イドウ</t>
    </rPh>
    <rPh sb="9" eb="11">
      <t>フカ</t>
    </rPh>
    <phoneticPr fontId="1"/>
  </si>
  <si>
    <r>
      <t>　　　</t>
    </r>
    <r>
      <rPr>
        <b/>
        <sz val="11"/>
        <color rgb="FFFF0000"/>
        <rFont val="ＭＳ Ｐゴシック"/>
        <family val="3"/>
        <charset val="128"/>
        <scheme val="minor"/>
      </rPr>
      <t>君と君の味方全員</t>
    </r>
    <r>
      <rPr>
        <sz val="11"/>
        <color theme="1"/>
        <rFont val="ＭＳ Ｐゴシック"/>
        <family val="2"/>
        <charset val="128"/>
        <scheme val="minor"/>
      </rPr>
      <t>は君の</t>
    </r>
    <r>
      <rPr>
        <b/>
        <sz val="11"/>
        <color rgb="FFFF0000"/>
        <rFont val="ＭＳ Ｐゴシック"/>
        <family val="3"/>
        <charset val="128"/>
        <scheme val="minor"/>
      </rPr>
      <t>次T開始</t>
    </r>
    <r>
      <rPr>
        <sz val="11"/>
        <color theme="1"/>
        <rFont val="ＭＳ Ｐゴシック"/>
        <family val="2"/>
        <charset val="128"/>
        <scheme val="minor"/>
      </rPr>
      <t>まで、</t>
    </r>
    <r>
      <rPr>
        <b/>
        <sz val="11"/>
        <color rgb="FFFF0000"/>
        <rFont val="ＭＳ Ｐゴシック"/>
        <family val="3"/>
        <charset val="128"/>
        <scheme val="minor"/>
      </rPr>
      <t>攻撃Rに＋３</t>
    </r>
    <r>
      <rPr>
        <sz val="11"/>
        <rFont val="ＭＳ Ｐゴシック"/>
        <family val="3"/>
        <charset val="128"/>
        <scheme val="minor"/>
      </rPr>
      <t>のボーナスを得る。</t>
    </r>
    <rPh sb="16" eb="18">
      <t>カイシ</t>
    </rPh>
    <rPh sb="21" eb="23">
      <t>コウゲキ</t>
    </rPh>
    <rPh sb="33" eb="34">
      <t>エ</t>
    </rPh>
    <phoneticPr fontId="1"/>
  </si>
  <si>
    <r>
      <t>　　　そして、</t>
    </r>
    <r>
      <rPr>
        <b/>
        <sz val="11"/>
        <color rgb="FFFF0000"/>
        <rFont val="ＭＳ Ｐゴシック"/>
        <family val="3"/>
        <charset val="128"/>
        <scheme val="minor"/>
      </rPr>
      <t>君の敵全員</t>
    </r>
    <r>
      <rPr>
        <sz val="11"/>
        <color theme="1"/>
        <rFont val="ＭＳ Ｐゴシック"/>
        <family val="2"/>
        <charset val="128"/>
        <scheme val="minor"/>
      </rPr>
      <t>は君の</t>
    </r>
    <r>
      <rPr>
        <b/>
        <sz val="11"/>
        <color rgb="FFFF0000"/>
        <rFont val="ＭＳ Ｐゴシック"/>
        <family val="3"/>
        <charset val="128"/>
        <scheme val="minor"/>
      </rPr>
      <t>次T開始</t>
    </r>
    <r>
      <rPr>
        <sz val="11"/>
        <color theme="1"/>
        <rFont val="ＭＳ Ｐゴシック"/>
        <family val="2"/>
        <charset val="128"/>
        <scheme val="minor"/>
      </rPr>
      <t>まで、</t>
    </r>
    <r>
      <rPr>
        <b/>
        <sz val="11"/>
        <color rgb="FFFF0000"/>
        <rFont val="ＭＳ Ｐゴシック"/>
        <family val="3"/>
        <charset val="128"/>
        <scheme val="minor"/>
      </rPr>
      <t>君に対する攻撃Rに＋３</t>
    </r>
    <r>
      <rPr>
        <sz val="11"/>
        <color theme="1"/>
        <rFont val="ＭＳ Ｐゴシック"/>
        <family val="2"/>
        <charset val="128"/>
        <scheme val="minor"/>
      </rPr>
      <t>のボーナスを得る。</t>
    </r>
    <rPh sb="17" eb="19">
      <t>カイシ</t>
    </rPh>
    <rPh sb="22" eb="23">
      <t>キミ</t>
    </rPh>
    <rPh sb="24" eb="25">
      <t>タイ</t>
    </rPh>
    <rPh sb="27" eb="29">
      <t>コウゲキ</t>
    </rPh>
    <rPh sb="39" eb="40">
      <t>エ</t>
    </rPh>
    <phoneticPr fontId="1"/>
  </si>
  <si>
    <t>ＡＰ</t>
    <phoneticPr fontId="1"/>
  </si>
  <si>
    <t>★：デーモンの怒り(PHⅡ115)</t>
    <rPh sb="7" eb="8">
      <t>イカ</t>
    </rPh>
    <phoneticPr fontId="1"/>
  </si>
  <si>
    <t>　　答え：んな事は無い、無理ッス。</t>
    <rPh sb="2" eb="3">
      <t>コタ</t>
    </rPh>
    <rPh sb="7" eb="8">
      <t>コト</t>
    </rPh>
    <rPh sb="9" eb="10">
      <t>ナ</t>
    </rPh>
    <rPh sb="12" eb="14">
      <t>ムリ</t>
    </rPh>
    <phoneticPr fontId="1"/>
  </si>
  <si>
    <t>大休憩を取るまで一切回復力を使わない決心すれば条件を満たせる・・・のか？</t>
    <rPh sb="0" eb="3">
      <t>ダイキュウケイ</t>
    </rPh>
    <rPh sb="4" eb="5">
      <t>ト</t>
    </rPh>
    <rPh sb="8" eb="10">
      <t>イッサイ</t>
    </rPh>
    <rPh sb="10" eb="13">
      <t>カイフクリョク</t>
    </rPh>
    <rPh sb="14" eb="15">
      <t>ツカ</t>
    </rPh>
    <rPh sb="18" eb="20">
      <t>ケッシン</t>
    </rPh>
    <rPh sb="23" eb="25">
      <t>ジョウケン</t>
    </rPh>
    <rPh sb="26" eb="27">
      <t>ミ</t>
    </rPh>
    <phoneticPr fontId="1"/>
  </si>
  <si>
    <t>即応パワーも充実しているから危なくなっても逃げられると割り切って、</t>
    <rPh sb="0" eb="2">
      <t>ソクオウ</t>
    </rPh>
    <rPh sb="6" eb="8">
      <t>ジュウジツ</t>
    </rPh>
    <rPh sb="14" eb="15">
      <t>アブ</t>
    </rPh>
    <rPh sb="21" eb="22">
      <t>ニ</t>
    </rPh>
    <rPh sb="27" eb="28">
      <t>ワ</t>
    </rPh>
    <rPh sb="29" eb="30">
      <t>キ</t>
    </rPh>
    <phoneticPr fontId="1"/>
  </si>
  <si>
    <t>範囲攻撃に巻き込まれる位置（シェリーの５マス以内）をキープし続けるのもアリなのか？</t>
    <rPh sb="0" eb="2">
      <t>ハンイ</t>
    </rPh>
    <rPh sb="2" eb="4">
      <t>コウゲキ</t>
    </rPh>
    <rPh sb="5" eb="6">
      <t>マ</t>
    </rPh>
    <rPh sb="7" eb="8">
      <t>コ</t>
    </rPh>
    <rPh sb="11" eb="13">
      <t>イチ</t>
    </rPh>
    <rPh sb="22" eb="24">
      <t>イナイ</t>
    </rPh>
    <rPh sb="30" eb="31">
      <t>ツヅ</t>
    </rPh>
    <phoneticPr fontId="1"/>
  </si>
  <si>
    <t>オテギヌが無力化された時の保険が効いているし、ヘルム・オヴ・ヒーローズも期待し易い。</t>
    <rPh sb="5" eb="8">
      <t>ムリョクカ</t>
    </rPh>
    <rPh sb="11" eb="12">
      <t>トキ</t>
    </rPh>
    <rPh sb="13" eb="15">
      <t>ホケン</t>
    </rPh>
    <rPh sb="16" eb="17">
      <t>キ</t>
    </rPh>
    <rPh sb="36" eb="38">
      <t>キタイ</t>
    </rPh>
    <rPh sb="39" eb="40">
      <t>ヤス</t>
    </rPh>
    <phoneticPr fontId="1"/>
  </si>
  <si>
    <t>これならば被弾率が多少上がっても、かなり立ち回りが強化されるので</t>
    <rPh sb="5" eb="7">
      <t>ヒダン</t>
    </rPh>
    <rPh sb="7" eb="8">
      <t>リツ</t>
    </rPh>
    <rPh sb="9" eb="11">
      <t>タショウ</t>
    </rPh>
    <rPh sb="11" eb="12">
      <t>ア</t>
    </rPh>
    <rPh sb="20" eb="21">
      <t>タ</t>
    </rPh>
    <rPh sb="22" eb="23">
      <t>マワ</t>
    </rPh>
    <rPh sb="25" eb="27">
      <t>キョウカ</t>
    </rPh>
    <phoneticPr fontId="1"/>
  </si>
  <si>
    <t>攻撃の前に、使用者は自分の移動速度分までの瞬間移動を行う。</t>
    <rPh sb="0" eb="2">
      <t>コウゲキ</t>
    </rPh>
    <rPh sb="3" eb="4">
      <t>マエ</t>
    </rPh>
    <rPh sb="6" eb="9">
      <t>シヨウシャ</t>
    </rPh>
    <rPh sb="10" eb="12">
      <t>ジブン</t>
    </rPh>
    <rPh sb="13" eb="15">
      <t>イドウ</t>
    </rPh>
    <rPh sb="15" eb="17">
      <t>ソクド</t>
    </rPh>
    <rPh sb="17" eb="18">
      <t>ブン</t>
    </rPh>
    <rPh sb="21" eb="23">
      <t>シュンカン</t>
    </rPh>
    <rPh sb="23" eb="25">
      <t>イドウ</t>
    </rPh>
    <rPh sb="26" eb="27">
      <t>オコナ</t>
    </rPh>
    <phoneticPr fontId="1"/>
  </si>
  <si>
    <t>①対頑健（反応の高い敵に対しては超絶有効）</t>
    <rPh sb="1" eb="2">
      <t>タイ</t>
    </rPh>
    <rPh sb="2" eb="4">
      <t>ガンケン</t>
    </rPh>
    <rPh sb="5" eb="7">
      <t>ハンノウ</t>
    </rPh>
    <rPh sb="8" eb="9">
      <t>タカ</t>
    </rPh>
    <rPh sb="10" eb="11">
      <t>テキ</t>
    </rPh>
    <rPh sb="12" eb="13">
      <t>タイ</t>
    </rPh>
    <rPh sb="16" eb="17">
      <t>チョウ</t>
    </rPh>
    <rPh sb="17" eb="18">
      <t>ゼツ</t>
    </rPh>
    <rPh sb="18" eb="20">
      <t>ユウコウ</t>
    </rPh>
    <phoneticPr fontId="1"/>
  </si>
  <si>
    <t>　　正直言って性能が段違いで比較するのもおこがましい（苦笑）。</t>
    <rPh sb="2" eb="4">
      <t>ショウジキ</t>
    </rPh>
    <rPh sb="4" eb="5">
      <t>イ</t>
    </rPh>
    <rPh sb="7" eb="9">
      <t>セイノウ</t>
    </rPh>
    <rPh sb="10" eb="12">
      <t>ダンチガ</t>
    </rPh>
    <rPh sb="14" eb="16">
      <t>ヒカク</t>
    </rPh>
    <rPh sb="27" eb="28">
      <t>ニガ</t>
    </rPh>
    <rPh sb="28" eb="29">
      <t>ワライ</t>
    </rPh>
    <phoneticPr fontId="1"/>
  </si>
  <si>
    <t>　　そして、味方で人体実験して敵の範囲攻撃の効果を確認する！</t>
    <rPh sb="6" eb="8">
      <t>ミカタ</t>
    </rPh>
    <rPh sb="9" eb="11">
      <t>ジンタイ</t>
    </rPh>
    <rPh sb="11" eb="13">
      <t>ジッケン</t>
    </rPh>
    <rPh sb="15" eb="16">
      <t>テキ</t>
    </rPh>
    <rPh sb="17" eb="19">
      <t>ハンイ</t>
    </rPh>
    <rPh sb="19" eb="21">
      <t>コウゲキ</t>
    </rPh>
    <rPh sb="22" eb="24">
      <t>コウカ</t>
    </rPh>
    <rPh sb="25" eb="27">
      <t>カクニン</t>
    </rPh>
    <phoneticPr fontId="1"/>
  </si>
  <si>
    <t>防具ペナルティ</t>
    <rPh sb="0" eb="2">
      <t>ボウグ</t>
    </rPh>
    <phoneticPr fontId="1"/>
  </si>
  <si>
    <t>能力+Lv1/2</t>
    <rPh sb="0" eb="2">
      <t>ノウリョク</t>
    </rPh>
    <phoneticPr fontId="1"/>
  </si>
  <si>
    <t>防具
ペナ</t>
    <rPh sb="0" eb="2">
      <t>ボウグ</t>
    </rPh>
    <phoneticPr fontId="1"/>
  </si>
  <si>
    <t>その他</t>
    <rPh sb="2" eb="3">
      <t>タ</t>
    </rPh>
    <phoneticPr fontId="1"/>
  </si>
  <si>
    <t>&lt;威圧&gt;</t>
    <rPh sb="1" eb="3">
      <t>イアツ</t>
    </rPh>
    <phoneticPr fontId="1"/>
  </si>
  <si>
    <t>【魅】</t>
    <rPh sb="1" eb="2">
      <t>ミ</t>
    </rPh>
    <phoneticPr fontId="1"/>
  </si>
  <si>
    <t>&lt;運動&gt;</t>
    <rPh sb="1" eb="3">
      <t>ウンドウ</t>
    </rPh>
    <phoneticPr fontId="1"/>
  </si>
  <si>
    <t>【筋】</t>
    <rPh sb="1" eb="2">
      <t>キン</t>
    </rPh>
    <phoneticPr fontId="1"/>
  </si>
  <si>
    <t>&lt;隠密&gt;</t>
    <rPh sb="1" eb="3">
      <t>オンミツ</t>
    </rPh>
    <phoneticPr fontId="1"/>
  </si>
  <si>
    <t>【敏】</t>
    <rPh sb="1" eb="2">
      <t>トシ</t>
    </rPh>
    <phoneticPr fontId="1"/>
  </si>
  <si>
    <t>&lt;軽業&gt;</t>
    <rPh sb="1" eb="3">
      <t>カルワザ</t>
    </rPh>
    <phoneticPr fontId="1"/>
  </si>
  <si>
    <t>&lt;看破&gt;</t>
    <rPh sb="1" eb="3">
      <t>カンパ</t>
    </rPh>
    <phoneticPr fontId="1"/>
  </si>
  <si>
    <t>【判】</t>
    <rPh sb="1" eb="2">
      <t>ハン</t>
    </rPh>
    <phoneticPr fontId="1"/>
  </si>
  <si>
    <t>&lt;交渉&gt;</t>
    <rPh sb="1" eb="3">
      <t>コウショウ</t>
    </rPh>
    <phoneticPr fontId="1"/>
  </si>
  <si>
    <t>&lt;持久力&gt;</t>
    <rPh sb="1" eb="4">
      <t>ジキュウリョク</t>
    </rPh>
    <phoneticPr fontId="1"/>
  </si>
  <si>
    <t>【耐】</t>
    <rPh sb="1" eb="2">
      <t>タイ</t>
    </rPh>
    <phoneticPr fontId="1"/>
  </si>
  <si>
    <t>&lt;事情通&gt;</t>
    <rPh sb="1" eb="3">
      <t>ジジョウ</t>
    </rPh>
    <rPh sb="3" eb="4">
      <t>ツウ</t>
    </rPh>
    <phoneticPr fontId="1"/>
  </si>
  <si>
    <t>&lt;自然&gt;</t>
    <rPh sb="1" eb="3">
      <t>シゼン</t>
    </rPh>
    <phoneticPr fontId="1"/>
  </si>
  <si>
    <t>&lt;宗教&gt;</t>
    <rPh sb="1" eb="3">
      <t>シュウキョウ</t>
    </rPh>
    <phoneticPr fontId="1"/>
  </si>
  <si>
    <t>【知】</t>
    <rPh sb="1" eb="2">
      <t>チ</t>
    </rPh>
    <phoneticPr fontId="1"/>
  </si>
  <si>
    <t>&lt;知覚&gt;</t>
    <rPh sb="1" eb="3">
      <t>チカク</t>
    </rPh>
    <phoneticPr fontId="1"/>
  </si>
  <si>
    <t>&lt;地下探検&gt;</t>
    <rPh sb="1" eb="3">
      <t>チカ</t>
    </rPh>
    <rPh sb="3" eb="5">
      <t>タンケン</t>
    </rPh>
    <phoneticPr fontId="1"/>
  </si>
  <si>
    <t>&lt;治癒&gt;</t>
    <rPh sb="1" eb="3">
      <t>チユ</t>
    </rPh>
    <phoneticPr fontId="1"/>
  </si>
  <si>
    <t>&lt;盗賊&gt;</t>
    <rPh sb="1" eb="3">
      <t>トウゾク</t>
    </rPh>
    <phoneticPr fontId="1"/>
  </si>
  <si>
    <t>&lt;はったり&gt;</t>
    <phoneticPr fontId="1"/>
  </si>
  <si>
    <t>&lt;魔法学&gt;</t>
    <rPh sb="1" eb="3">
      <t>マホウ</t>
    </rPh>
    <rPh sb="3" eb="4">
      <t>ガク</t>
    </rPh>
    <phoneticPr fontId="1"/>
  </si>
  <si>
    <t>&lt;歴史&gt;</t>
    <rPh sb="1" eb="3">
      <t>レキシ</t>
    </rPh>
    <phoneticPr fontId="1"/>
  </si>
  <si>
    <t>値</t>
    <rPh sb="0" eb="1">
      <t>アタイ</t>
    </rPh>
    <phoneticPr fontId="1"/>
  </si>
  <si>
    <t>受動感覚</t>
    <rPh sb="0" eb="2">
      <t>ジュドウ</t>
    </rPh>
    <rPh sb="2" eb="4">
      <t>カンカク</t>
    </rPh>
    <phoneticPr fontId="1"/>
  </si>
  <si>
    <t>技能値</t>
    <phoneticPr fontId="1"/>
  </si>
  <si>
    <t>基本値</t>
    <rPh sb="0" eb="2">
      <t>キホン</t>
    </rPh>
    <rPh sb="2" eb="3">
      <t>チ</t>
    </rPh>
    <phoneticPr fontId="1"/>
  </si>
  <si>
    <t>受動&lt;看破&gt;</t>
    <rPh sb="0" eb="2">
      <t>ジュドウ</t>
    </rPh>
    <rPh sb="3" eb="5">
      <t>カンパ</t>
    </rPh>
    <phoneticPr fontId="1"/>
  </si>
  <si>
    <t>受動&lt;知覚&gt;</t>
    <rPh sb="0" eb="2">
      <t>ジュドウ</t>
    </rPh>
    <rPh sb="3" eb="5">
      <t>チカク</t>
    </rPh>
    <phoneticPr fontId="1"/>
  </si>
  <si>
    <t>アイテム</t>
    <phoneticPr fontId="1"/>
  </si>
  <si>
    <t>種族</t>
    <rPh sb="0" eb="2">
      <t>シュゾク</t>
    </rPh>
    <phoneticPr fontId="1"/>
  </si>
  <si>
    <t>状況限定ボーナス</t>
    <rPh sb="0" eb="2">
      <t>ジョウキョウ</t>
    </rPh>
    <rPh sb="2" eb="4">
      <t>ゲンテイ</t>
    </rPh>
    <phoneticPr fontId="1"/>
  </si>
  <si>
    <t>合計</t>
    <rPh sb="0" eb="2">
      <t>ゴウケイ</t>
    </rPh>
    <phoneticPr fontId="1"/>
  </si>
  <si>
    <t>残り</t>
    <rPh sb="0" eb="1">
      <t>ノコ</t>
    </rPh>
    <phoneticPr fontId="1"/>
  </si>
  <si>
    <t>習得済</t>
    <rPh sb="0" eb="2">
      <t>シュウトク</t>
    </rPh>
    <rPh sb="2" eb="3">
      <t>スミ</t>
    </rPh>
    <phoneticPr fontId="1"/>
  </si>
  <si>
    <r>
      <t>感覚</t>
    </r>
    <r>
      <rPr>
        <b/>
        <sz val="16"/>
        <color rgb="FFFF0000"/>
        <rFont val="ＭＳ Ｐゴシック"/>
        <family val="3"/>
        <charset val="128"/>
        <scheme val="minor"/>
      </rPr>
      <t>（心衣含む）</t>
    </r>
    <rPh sb="0" eb="2">
      <t>カンカク</t>
    </rPh>
    <rPh sb="3" eb="4">
      <t>ココロ</t>
    </rPh>
    <rPh sb="4" eb="5">
      <t>コロモ</t>
    </rPh>
    <rPh sb="5" eb="6">
      <t>フク</t>
    </rPh>
    <phoneticPr fontId="1"/>
  </si>
  <si>
    <t>ポータル関連の儀式　　　　＋３　　</t>
    <rPh sb="4" eb="6">
      <t>カンレン</t>
    </rPh>
    <rPh sb="7" eb="9">
      <t>ギシキ</t>
    </rPh>
    <phoneticPr fontId="1"/>
  </si>
  <si>
    <t>心衣＋α</t>
    <rPh sb="0" eb="1">
      <t>ココロ</t>
    </rPh>
    <rPh sb="1" eb="2">
      <t>コロモ</t>
    </rPh>
    <phoneticPr fontId="1"/>
  </si>
  <si>
    <t>ソーサラー/攻撃/１３　(秘67)</t>
    <rPh sb="6" eb="8">
      <t>コウゲキ</t>
    </rPh>
    <rPh sb="13" eb="14">
      <t>ヒ</t>
    </rPh>
    <phoneticPr fontId="1"/>
  </si>
  <si>
    <t>[遭遇毎]◆［装具］[電撃][火]［秘術］[雷鳴][冷気]</t>
    <rPh sb="1" eb="3">
      <t>ソウグウ</t>
    </rPh>
    <rPh sb="3" eb="4">
      <t>マイ</t>
    </rPh>
    <rPh sb="11" eb="13">
      <t>デンゲキ</t>
    </rPh>
    <rPh sb="15" eb="16">
      <t>ヒ</t>
    </rPh>
    <rPh sb="26" eb="28">
      <t>レイキ</t>
    </rPh>
    <phoneticPr fontId="1"/>
  </si>
  <si>
    <r>
      <t>　荒ぶる魔法：使用者が攻撃Rで</t>
    </r>
    <r>
      <rPr>
        <b/>
        <sz val="11"/>
        <color rgb="FFFF0000"/>
        <rFont val="ＭＳ Ｐゴシック"/>
        <family val="3"/>
        <charset val="128"/>
        <scheme val="minor"/>
      </rPr>
      <t>偶数</t>
    </r>
    <r>
      <rPr>
        <sz val="11"/>
        <rFont val="ＭＳ Ｐゴシック"/>
        <family val="3"/>
        <charset val="128"/>
        <scheme val="minor"/>
      </rPr>
      <t>をロールしたなら、</t>
    </r>
    <rPh sb="1" eb="2">
      <t>アラ</t>
    </rPh>
    <rPh sb="4" eb="6">
      <t>マホウ</t>
    </rPh>
    <rPh sb="7" eb="10">
      <t>シヨウシャ</t>
    </rPh>
    <rPh sb="11" eb="13">
      <t>コウゲキ</t>
    </rPh>
    <rPh sb="15" eb="17">
      <t>グウスウ</t>
    </rPh>
    <phoneticPr fontId="1"/>
  </si>
  <si>
    <t>プライモーディアル・ストーム</t>
    <phoneticPr fontId="1"/>
  </si>
  <si>
    <t>判定名</t>
    <rPh sb="0" eb="2">
      <t>ハンテイ</t>
    </rPh>
    <rPh sb="2" eb="3">
      <t>メイ</t>
    </rPh>
    <phoneticPr fontId="1"/>
  </si>
  <si>
    <t>状況限定ボーナス　及び　　　特殊効果</t>
    <rPh sb="0" eb="2">
      <t>ジョウキョウ</t>
    </rPh>
    <rPh sb="2" eb="4">
      <t>ゲンテイ</t>
    </rPh>
    <rPh sb="9" eb="10">
      <t>オヨ</t>
    </rPh>
    <rPh sb="14" eb="16">
      <t>トクシュ</t>
    </rPh>
    <rPh sb="16" eb="18">
      <t>コウカ</t>
    </rPh>
    <phoneticPr fontId="1"/>
  </si>
  <si>
    <t>イニシアチブ</t>
  </si>
  <si>
    <r>
      <t>イニシアチブ＆技能判定</t>
    </r>
    <r>
      <rPr>
        <b/>
        <sz val="16"/>
        <color rgb="FFFF0000"/>
        <rFont val="ＭＳ Ｐゴシック"/>
        <family val="3"/>
        <charset val="128"/>
        <scheme val="minor"/>
      </rPr>
      <t>（心衣＋α含む）</t>
    </r>
    <phoneticPr fontId="1"/>
  </si>
  <si>
    <t>味方</t>
    <rPh sb="0" eb="2">
      <t>ミカタ</t>
    </rPh>
    <phoneticPr fontId="1"/>
  </si>
  <si>
    <t>ＡＰ味方</t>
    <rPh sb="2" eb="4">
      <t>ミカタ</t>
    </rPh>
    <phoneticPr fontId="1"/>
  </si>
  <si>
    <t>ＡＰ</t>
    <phoneticPr fontId="1"/>
  </si>
  <si>
    <t>ボーナス</t>
    <phoneticPr fontId="1"/>
  </si>
  <si>
    <t>命中・他合計</t>
    <rPh sb="0" eb="2">
      <t>メイチュウ</t>
    </rPh>
    <rPh sb="3" eb="4">
      <t>ホカ</t>
    </rPh>
    <rPh sb="4" eb="6">
      <t>ゴウケイ</t>
    </rPh>
    <phoneticPr fontId="1"/>
  </si>
  <si>
    <t>アイテム</t>
    <phoneticPr fontId="1"/>
  </si>
  <si>
    <t>パワー</t>
    <phoneticPr fontId="1"/>
  </si>
  <si>
    <t>ダメ・他合計</t>
    <rPh sb="3" eb="4">
      <t>ホカ</t>
    </rPh>
    <rPh sb="4" eb="6">
      <t>ゴウケイ</t>
    </rPh>
    <phoneticPr fontId="1"/>
  </si>
  <si>
    <t>クラス</t>
    <phoneticPr fontId="1"/>
  </si>
  <si>
    <t>伝説</t>
    <rPh sb="0" eb="2">
      <t>デンセツ</t>
    </rPh>
    <phoneticPr fontId="1"/>
  </si>
  <si>
    <t>雷鳴秘術パワー</t>
    <rPh sb="0" eb="2">
      <t>ライメイ</t>
    </rPh>
    <phoneticPr fontId="1"/>
  </si>
  <si>
    <t>上級装具</t>
    <rPh sb="0" eb="2">
      <t>ジョウキュウ</t>
    </rPh>
    <rPh sb="2" eb="4">
      <t>ソウグ</t>
    </rPh>
    <phoneticPr fontId="1"/>
  </si>
  <si>
    <t>雷鳴秘術パワー</t>
    <rPh sb="0" eb="2">
      <t>ライメイ</t>
    </rPh>
    <phoneticPr fontId="1"/>
  </si>
  <si>
    <t>※《ウォー・ウィザード魔法》(FR138)</t>
    <phoneticPr fontId="1"/>
  </si>
  <si>
    <r>
      <t>　　君の秘術パワーは</t>
    </r>
    <r>
      <rPr>
        <b/>
        <sz val="11"/>
        <color rgb="FFFF0000"/>
        <rFont val="ＭＳ Ｐゴシック"/>
        <family val="3"/>
        <charset val="128"/>
        <scheme val="minor"/>
      </rPr>
      <t>味方に対する攻撃Rに-5</t>
    </r>
    <r>
      <rPr>
        <sz val="11"/>
        <color theme="1"/>
        <rFont val="ＭＳ Ｐゴシック"/>
        <family val="3"/>
        <charset val="128"/>
        <scheme val="minor"/>
      </rPr>
      <t>のペナルティを受ける。　</t>
    </r>
    <rPh sb="2" eb="3">
      <t>キミ</t>
    </rPh>
    <rPh sb="4" eb="6">
      <t>ヒジュツ</t>
    </rPh>
    <rPh sb="10" eb="12">
      <t>ミカタ</t>
    </rPh>
    <rPh sb="13" eb="14">
      <t>タイ</t>
    </rPh>
    <rPh sb="16" eb="18">
      <t>コウゲキ</t>
    </rPh>
    <rPh sb="29" eb="30">
      <t>ウ</t>
    </rPh>
    <phoneticPr fontId="1"/>
  </si>
  <si>
    <r>
      <t>　　</t>
    </r>
    <r>
      <rPr>
        <b/>
        <sz val="11"/>
        <color rgb="FFFF0000"/>
        <rFont val="ＭＳ Ｐゴシック"/>
        <family val="3"/>
        <charset val="128"/>
        <scheme val="minor"/>
      </rPr>
      <t>味方には通常ダメージの半分</t>
    </r>
    <r>
      <rPr>
        <sz val="11"/>
        <color theme="1"/>
        <rFont val="ＭＳ Ｐゴシック"/>
        <family val="3"/>
        <charset val="128"/>
        <scheme val="minor"/>
      </rPr>
      <t>しか与えない。</t>
    </r>
    <rPh sb="2" eb="4">
      <t>ミカタ</t>
    </rPh>
    <rPh sb="6" eb="8">
      <t>ツウジョウ</t>
    </rPh>
    <rPh sb="13" eb="15">
      <t>ハンブン</t>
    </rPh>
    <rPh sb="17" eb="18">
      <t>アタ</t>
    </rPh>
    <phoneticPr fontId="1"/>
  </si>
  <si>
    <t>※《ウォー・ウィザード魔法》(FR138)</t>
    <phoneticPr fontId="1"/>
  </si>
  <si>
    <r>
      <t>さらに、</t>
    </r>
    <r>
      <rPr>
        <b/>
        <sz val="12"/>
        <color indexed="10"/>
        <rFont val="ＭＳ Ｐゴシック"/>
        <family val="3"/>
        <charset val="128"/>
      </rPr>
      <t>使用者は目標を1マス押しやる。</t>
    </r>
    <r>
      <rPr>
        <b/>
        <sz val="11"/>
        <color indexed="8"/>
        <rFont val="ＭＳ Ｐゴシック"/>
        <family val="3"/>
        <charset val="128"/>
      </rPr>
      <t xml:space="preserve"> 　＞上級装具で </t>
    </r>
    <r>
      <rPr>
        <b/>
        <sz val="11"/>
        <color rgb="FFFF0000"/>
        <rFont val="ＭＳ Ｐゴシック"/>
        <family val="3"/>
        <charset val="128"/>
      </rPr>
      <t>2マス</t>
    </r>
    <r>
      <rPr>
        <b/>
        <sz val="11"/>
        <color indexed="8"/>
        <rFont val="ＭＳ Ｐゴシック"/>
        <family val="3"/>
        <charset val="128"/>
      </rPr>
      <t>押しやり</t>
    </r>
    <rPh sb="22" eb="24">
      <t>ジョウキュウ</t>
    </rPh>
    <rPh sb="24" eb="26">
      <t>ソウグ</t>
    </rPh>
    <rPh sb="31" eb="32">
      <t>オ</t>
    </rPh>
    <phoneticPr fontId="1"/>
  </si>
  <si>
    <t>実際のところ全て順調に行く程、世の中甘くは無い。</t>
    <rPh sb="0" eb="2">
      <t>ジッサイ</t>
    </rPh>
    <rPh sb="6" eb="7">
      <t>スベ</t>
    </rPh>
    <rPh sb="8" eb="10">
      <t>ジュンチョウ</t>
    </rPh>
    <rPh sb="11" eb="12">
      <t>イ</t>
    </rPh>
    <rPh sb="13" eb="14">
      <t>ホド</t>
    </rPh>
    <rPh sb="15" eb="16">
      <t>ヨ</t>
    </rPh>
    <rPh sb="17" eb="18">
      <t>ナカ</t>
    </rPh>
    <rPh sb="18" eb="19">
      <t>アマ</t>
    </rPh>
    <rPh sb="21" eb="22">
      <t>ナ</t>
    </rPh>
    <phoneticPr fontId="1"/>
  </si>
  <si>
    <t>戦闘以外でもHPが減る時は減る！</t>
    <rPh sb="0" eb="2">
      <t>セントウ</t>
    </rPh>
    <rPh sb="2" eb="4">
      <t>イガイ</t>
    </rPh>
    <rPh sb="9" eb="10">
      <t>ヘ</t>
    </rPh>
    <rPh sb="11" eb="12">
      <t>トキ</t>
    </rPh>
    <rPh sb="13" eb="14">
      <t>ヘ</t>
    </rPh>
    <phoneticPr fontId="1"/>
  </si>
  <si>
    <t>だからほっといても、発動チャンスは自然と訪れると言えるかもしれない・・・。</t>
    <rPh sb="10" eb="12">
      <t>ハツドウ</t>
    </rPh>
    <rPh sb="17" eb="19">
      <t>シゼン</t>
    </rPh>
    <rPh sb="20" eb="21">
      <t>オトズ</t>
    </rPh>
    <rPh sb="24" eb="25">
      <t>イ</t>
    </rPh>
    <phoneticPr fontId="1"/>
  </si>
  <si>
    <t>②掴みや拘束、不動対策</t>
    <rPh sb="1" eb="2">
      <t>ツカ</t>
    </rPh>
    <rPh sb="4" eb="6">
      <t>コウソク</t>
    </rPh>
    <rPh sb="7" eb="9">
      <t>フドウ</t>
    </rPh>
    <rPh sb="9" eb="11">
      <t>タイサク</t>
    </rPh>
    <phoneticPr fontId="1"/>
  </si>
  <si>
    <t>③伏せ中の移動</t>
    <rPh sb="1" eb="2">
      <t>フ</t>
    </rPh>
    <rPh sb="3" eb="4">
      <t>チュウ</t>
    </rPh>
    <rPh sb="5" eb="7">
      <t>イドウ</t>
    </rPh>
    <phoneticPr fontId="1"/>
  </si>
  <si>
    <t>　　伏せ中は命中へのペナルティもキツいが、移動力が著しく落ちるのも難点。</t>
    <rPh sb="2" eb="3">
      <t>フ</t>
    </rPh>
    <rPh sb="4" eb="5">
      <t>チュウ</t>
    </rPh>
    <rPh sb="6" eb="8">
      <t>メイチュウ</t>
    </rPh>
    <rPh sb="21" eb="23">
      <t>イドウ</t>
    </rPh>
    <rPh sb="23" eb="24">
      <t>リョク</t>
    </rPh>
    <rPh sb="25" eb="26">
      <t>イチジル</t>
    </rPh>
    <rPh sb="28" eb="29">
      <t>オ</t>
    </rPh>
    <rPh sb="33" eb="35">
      <t>ナンテン</t>
    </rPh>
    <phoneticPr fontId="1"/>
  </si>
  <si>
    <t>　　しかし、移動力だけならば瞬間移動でフォローする事が可能。</t>
    <rPh sb="6" eb="8">
      <t>イドウ</t>
    </rPh>
    <rPh sb="8" eb="9">
      <t>リョク</t>
    </rPh>
    <rPh sb="14" eb="16">
      <t>シュンカン</t>
    </rPh>
    <rPh sb="16" eb="18">
      <t>イドウ</t>
    </rPh>
    <rPh sb="25" eb="26">
      <t>コト</t>
    </rPh>
    <rPh sb="27" eb="29">
      <t>カノウ</t>
    </rPh>
    <phoneticPr fontId="1"/>
  </si>
  <si>
    <r>
      <t>　目標は</t>
    </r>
    <r>
      <rPr>
        <b/>
        <sz val="11"/>
        <color rgb="FFFF0000"/>
        <rFont val="ＭＳ Ｐゴシック"/>
        <family val="3"/>
        <charset val="128"/>
      </rPr>
      <t>次の自分のT開始時に</t>
    </r>
    <r>
      <rPr>
        <b/>
        <sz val="11"/>
        <color rgb="FF0070C0"/>
        <rFont val="ＭＳ Ｐゴシック"/>
        <family val="3"/>
        <charset val="128"/>
      </rPr>
      <t>[火]および[冷気]</t>
    </r>
    <r>
      <rPr>
        <b/>
        <sz val="11"/>
        <color rgb="FFFF0000"/>
        <rFont val="ＭＳ Ｐゴシック"/>
        <family val="3"/>
        <charset val="128"/>
      </rPr>
      <t>ダメージ５</t>
    </r>
    <r>
      <rPr>
        <sz val="11"/>
        <rFont val="ＭＳ Ｐゴシック"/>
        <family val="3"/>
        <charset val="128"/>
      </rPr>
      <t>を受ける。</t>
    </r>
    <rPh sb="1" eb="3">
      <t>モクヒョウ</t>
    </rPh>
    <rPh sb="4" eb="5">
      <t>ツギ</t>
    </rPh>
    <rPh sb="6" eb="8">
      <t>ジブン</t>
    </rPh>
    <rPh sb="10" eb="12">
      <t>カイシ</t>
    </rPh>
    <rPh sb="12" eb="13">
      <t>ジ</t>
    </rPh>
    <rPh sb="15" eb="16">
      <t>ヒ</t>
    </rPh>
    <rPh sb="21" eb="23">
      <t>レイキ</t>
    </rPh>
    <rPh sb="30" eb="31">
      <t>ウ</t>
    </rPh>
    <phoneticPr fontId="1"/>
  </si>
  <si>
    <r>
      <t>(２ｄ６＋【魅】)の</t>
    </r>
    <r>
      <rPr>
        <b/>
        <sz val="11"/>
        <color rgb="FF0070C0"/>
        <rFont val="ＭＳ Ｐゴシック"/>
        <family val="3"/>
        <charset val="128"/>
        <scheme val="minor"/>
      </rPr>
      <t>[電撃]および[雷鳴]</t>
    </r>
    <r>
      <rPr>
        <sz val="11"/>
        <rFont val="ＭＳ Ｐゴシック"/>
        <family val="3"/>
        <charset val="128"/>
        <scheme val="minor"/>
      </rPr>
      <t>ダメージ</t>
    </r>
    <rPh sb="11" eb="13">
      <t>デンゲキ</t>
    </rPh>
    <phoneticPr fontId="1"/>
  </si>
  <si>
    <t>[遭遇毎]◆[秘術]</t>
    <rPh sb="1" eb="3">
      <t>ソウグウ</t>
    </rPh>
    <rPh sb="3" eb="4">
      <t>マイ</t>
    </rPh>
    <rPh sb="7" eb="9">
      <t>ヒジュツ</t>
    </rPh>
    <phoneticPr fontId="1"/>
  </si>
  <si>
    <t>ソーサラー／汎用／１０　（秘66）</t>
    <rPh sb="6" eb="8">
      <t>ハンヨウ</t>
    </rPh>
    <rPh sb="13" eb="14">
      <t>ヒ</t>
    </rPh>
    <phoneticPr fontId="1"/>
  </si>
  <si>
    <t>使用者に対する１回の攻撃がヒットする</t>
    <rPh sb="0" eb="3">
      <t>シヨウシャ</t>
    </rPh>
    <rPh sb="4" eb="5">
      <t>タイ</t>
    </rPh>
    <rPh sb="8" eb="9">
      <t>カイ</t>
    </rPh>
    <rPh sb="10" eb="12">
      <t>コウゲキ</t>
    </rPh>
    <phoneticPr fontId="1"/>
  </si>
  <si>
    <r>
      <t>使用者は次の</t>
    </r>
    <r>
      <rPr>
        <b/>
        <sz val="11"/>
        <color rgb="FFFF0000"/>
        <rFont val="ＭＳ Ｐゴシック"/>
        <family val="3"/>
        <charset val="128"/>
        <scheme val="minor"/>
      </rPr>
      <t>自分のターン終了時</t>
    </r>
    <r>
      <rPr>
        <sz val="11"/>
        <rFont val="ＭＳ Ｐゴシック"/>
        <family val="3"/>
        <charset val="128"/>
        <scheme val="minor"/>
      </rPr>
      <t>まで</t>
    </r>
    <r>
      <rPr>
        <b/>
        <sz val="11"/>
        <color rgb="FFFF0000"/>
        <rFont val="ＭＳ Ｐゴシック"/>
        <family val="3"/>
        <charset val="128"/>
        <scheme val="minor"/>
      </rPr>
      <t>非物質的</t>
    </r>
    <r>
      <rPr>
        <sz val="11"/>
        <rFont val="ＭＳ Ｐゴシック"/>
        <family val="3"/>
        <charset val="128"/>
        <scheme val="minor"/>
      </rPr>
      <t>となる。</t>
    </r>
    <rPh sb="0" eb="2">
      <t>シヨウ</t>
    </rPh>
    <rPh sb="2" eb="3">
      <t>シャ</t>
    </rPh>
    <rPh sb="4" eb="5">
      <t>ツギ</t>
    </rPh>
    <rPh sb="6" eb="8">
      <t>ジブン</t>
    </rPh>
    <rPh sb="12" eb="14">
      <t>シュウリョウ</t>
    </rPh>
    <rPh sb="14" eb="15">
      <t>ジ</t>
    </rPh>
    <rPh sb="17" eb="18">
      <t>ヒ</t>
    </rPh>
    <rPh sb="18" eb="21">
      <t>ブッシツテキ</t>
    </rPh>
    <phoneticPr fontId="1"/>
  </si>
  <si>
    <t>テーマ</t>
    <phoneticPr fontId="1"/>
  </si>
  <si>
    <t>ヴェズヴズ・エラプション</t>
    <phoneticPr fontId="1"/>
  </si>
  <si>
    <t>爆発内のクリーチャーすべて</t>
    <rPh sb="0" eb="2">
      <t>バクハツ</t>
    </rPh>
    <rPh sb="2" eb="3">
      <t>ナイ</t>
    </rPh>
    <phoneticPr fontId="1"/>
  </si>
  <si>
    <t>[遭遇毎]◆［区域］［元素］［装具］［火］［秘術］[雷鳴]</t>
    <rPh sb="1" eb="3">
      <t>ソウグウ</t>
    </rPh>
    <rPh sb="3" eb="4">
      <t>マイ</t>
    </rPh>
    <rPh sb="7" eb="9">
      <t>クイキ</t>
    </rPh>
    <rPh sb="11" eb="13">
      <t>ゲンソ</t>
    </rPh>
    <rPh sb="19" eb="20">
      <t>ヒ</t>
    </rPh>
    <rPh sb="22" eb="24">
      <t>ヒジュツ</t>
    </rPh>
    <rPh sb="26" eb="28">
      <t>ライメイ</t>
    </rPh>
    <phoneticPr fontId="1"/>
  </si>
  <si>
    <t>【最も高い能力修正値】対"反応"</t>
    <rPh sb="1" eb="2">
      <t>モット</t>
    </rPh>
    <rPh sb="3" eb="4">
      <t>タカ</t>
    </rPh>
    <rPh sb="5" eb="7">
      <t>ノウリョク</t>
    </rPh>
    <rPh sb="7" eb="9">
      <t>シュウセイ</t>
    </rPh>
    <rPh sb="9" eb="10">
      <t>チ</t>
    </rPh>
    <rPh sb="11" eb="12">
      <t>タイ</t>
    </rPh>
    <rPh sb="13" eb="15">
      <t>ハンノウ</t>
    </rPh>
    <phoneticPr fontId="1"/>
  </si>
  <si>
    <t>　(Lv11:2d6 Lv21:3d6)</t>
    <phoneticPr fontId="1"/>
  </si>
  <si>
    <r>
      <t>(１ｄ６＋【最も高い能力修正値】)の[雷鳴]ダメージ。 目標は</t>
    </r>
    <r>
      <rPr>
        <b/>
        <sz val="11"/>
        <color rgb="FFFF0000"/>
        <rFont val="ＭＳ Ｐゴシック"/>
        <family val="3"/>
        <charset val="128"/>
        <scheme val="minor"/>
      </rPr>
      <t>伏せ</t>
    </r>
    <r>
      <rPr>
        <sz val="11"/>
        <rFont val="ＭＳ Ｐゴシック"/>
        <family val="3"/>
        <charset val="128"/>
        <scheme val="minor"/>
      </rPr>
      <t>状態になる。</t>
    </r>
    <rPh sb="19" eb="21">
      <t>ライメイ</t>
    </rPh>
    <phoneticPr fontId="1"/>
  </si>
  <si>
    <r>
      <t>爆発の範囲内に、使用者の</t>
    </r>
    <r>
      <rPr>
        <b/>
        <sz val="11"/>
        <color rgb="FFFF0000"/>
        <rFont val="ＭＳ Ｐゴシック"/>
        <family val="3"/>
        <charset val="128"/>
        <scheme val="minor"/>
      </rPr>
      <t>次のT終了</t>
    </r>
    <r>
      <rPr>
        <sz val="11"/>
        <rFont val="ＭＳ Ｐゴシック"/>
        <family val="3"/>
        <charset val="128"/>
        <scheme val="minor"/>
      </rPr>
      <t>時まで持続する</t>
    </r>
    <r>
      <rPr>
        <b/>
        <sz val="11"/>
        <color rgb="FFFF0000"/>
        <rFont val="ＭＳ Ｐゴシック"/>
        <family val="3"/>
        <charset val="128"/>
        <scheme val="minor"/>
      </rPr>
      <t>移動困難な地形の区域</t>
    </r>
    <r>
      <rPr>
        <sz val="11"/>
        <rFont val="ＭＳ Ｐゴシック"/>
        <family val="3"/>
        <charset val="128"/>
        <scheme val="minor"/>
      </rPr>
      <t>ができる。</t>
    </r>
    <rPh sb="0" eb="2">
      <t>バクハツ</t>
    </rPh>
    <rPh sb="3" eb="6">
      <t>ハンイナイ</t>
    </rPh>
    <rPh sb="8" eb="11">
      <t>シヨウシャ</t>
    </rPh>
    <rPh sb="12" eb="13">
      <t>ツギ</t>
    </rPh>
    <rPh sb="15" eb="18">
      <t>シュウリョウジ</t>
    </rPh>
    <rPh sb="20" eb="22">
      <t>ジゾク</t>
    </rPh>
    <rPh sb="24" eb="26">
      <t>イドウ</t>
    </rPh>
    <rPh sb="26" eb="28">
      <t>コンナン</t>
    </rPh>
    <rPh sb="29" eb="31">
      <t>チケイ</t>
    </rPh>
    <rPh sb="32" eb="34">
      <t>クイキ</t>
    </rPh>
    <phoneticPr fontId="1"/>
  </si>
  <si>
    <r>
      <t>この区域で</t>
    </r>
    <r>
      <rPr>
        <b/>
        <sz val="11"/>
        <color rgb="FFFF0000"/>
        <rFont val="ＭＳ Ｐゴシック"/>
        <family val="3"/>
        <charset val="128"/>
        <scheme val="minor"/>
      </rPr>
      <t>自分のTを終了</t>
    </r>
    <r>
      <rPr>
        <sz val="11"/>
        <rFont val="ＭＳ Ｐゴシック"/>
        <family val="3"/>
        <charset val="128"/>
        <scheme val="minor"/>
      </rPr>
      <t>したクリ―チャ―はみな、５［火］ダメージを受ける。</t>
    </r>
    <rPh sb="2" eb="4">
      <t>クイキ</t>
    </rPh>
    <rPh sb="5" eb="7">
      <t>ジブン</t>
    </rPh>
    <rPh sb="10" eb="12">
      <t>シュウリョウ</t>
    </rPh>
    <rPh sb="33" eb="34">
      <t>ウ</t>
    </rPh>
    <phoneticPr fontId="1"/>
  </si>
  <si>
    <t>②対反応なので、暴れ役や兵士役のＨＰの削り＆足止めに有効。</t>
    <rPh sb="1" eb="2">
      <t>タイ</t>
    </rPh>
    <rPh sb="2" eb="4">
      <t>ハンノウ</t>
    </rPh>
    <rPh sb="8" eb="9">
      <t>アバ</t>
    </rPh>
    <rPh sb="10" eb="11">
      <t>ヤク</t>
    </rPh>
    <rPh sb="12" eb="14">
      <t>ヘイシ</t>
    </rPh>
    <rPh sb="14" eb="15">
      <t>ヤク</t>
    </rPh>
    <rPh sb="19" eb="20">
      <t>ケズ</t>
    </rPh>
    <rPh sb="22" eb="23">
      <t>アシ</t>
    </rPh>
    <rPh sb="23" eb="24">
      <t>ト</t>
    </rPh>
    <rPh sb="26" eb="28">
      <t>ユウコウ</t>
    </rPh>
    <phoneticPr fontId="1"/>
  </si>
  <si>
    <t>②だが対反応なので、暴れ役や兵士役のＨＰを削るのにも効果的。　アイアーとの相性、すこぶる良し。</t>
    <rPh sb="3" eb="4">
      <t>タイ</t>
    </rPh>
    <rPh sb="4" eb="6">
      <t>ハンノウ</t>
    </rPh>
    <rPh sb="10" eb="11">
      <t>アバ</t>
    </rPh>
    <rPh sb="12" eb="13">
      <t>ヤク</t>
    </rPh>
    <rPh sb="14" eb="16">
      <t>ヘイシ</t>
    </rPh>
    <rPh sb="16" eb="17">
      <t>ヤク</t>
    </rPh>
    <rPh sb="21" eb="22">
      <t>ケズ</t>
    </rPh>
    <rPh sb="26" eb="29">
      <t>コウカテキ</t>
    </rPh>
    <rPh sb="37" eb="39">
      <t>アイショウ</t>
    </rPh>
    <rPh sb="44" eb="45">
      <t>ヨ</t>
    </rPh>
    <phoneticPr fontId="1"/>
  </si>
  <si>
    <t>⑥結局、他にする事が無い時に仕方が無さそうに使う</t>
    <rPh sb="1" eb="3">
      <t>ケッキョク</t>
    </rPh>
    <rPh sb="4" eb="5">
      <t>ホカ</t>
    </rPh>
    <rPh sb="8" eb="9">
      <t>コト</t>
    </rPh>
    <rPh sb="10" eb="11">
      <t>ナ</t>
    </rPh>
    <rPh sb="12" eb="13">
      <t>トキ</t>
    </rPh>
    <rPh sb="14" eb="16">
      <t>シカタ</t>
    </rPh>
    <rPh sb="17" eb="18">
      <t>ナ</t>
    </rPh>
    <rPh sb="22" eb="23">
      <t>ツカ</t>
    </rPh>
    <phoneticPr fontId="1"/>
  </si>
  <si>
    <t>④スラーズ・ギャンビットと使い分ける</t>
    <phoneticPr fontId="1"/>
  </si>
  <si>
    <t>イーライのピンチは回避するにこした事は無いが、なる時にはなる。</t>
    <rPh sb="9" eb="11">
      <t>カイヒ</t>
    </rPh>
    <rPh sb="17" eb="18">
      <t>コト</t>
    </rPh>
    <rPh sb="19" eb="20">
      <t>ナ</t>
    </rPh>
    <rPh sb="25" eb="26">
      <t>トキ</t>
    </rPh>
    <phoneticPr fontId="1"/>
  </si>
  <si>
    <t>　　機会攻撃も気にせず好きな所に行けるのも大きい。</t>
    <rPh sb="2" eb="4">
      <t>キカイ</t>
    </rPh>
    <rPh sb="4" eb="6">
      <t>コウゲキ</t>
    </rPh>
    <rPh sb="7" eb="8">
      <t>キ</t>
    </rPh>
    <rPh sb="11" eb="12">
      <t>ス</t>
    </rPh>
    <rPh sb="14" eb="15">
      <t>トコロ</t>
    </rPh>
    <rPh sb="16" eb="17">
      <t>イ</t>
    </rPh>
    <rPh sb="21" eb="22">
      <t>オオ</t>
    </rPh>
    <phoneticPr fontId="1"/>
  </si>
  <si>
    <t>④火への抵抗のお陰で、オテギヌは区域内へ突撃して集中攻撃に参加して全然OK！</t>
    <rPh sb="1" eb="2">
      <t>ヒ</t>
    </rPh>
    <rPh sb="4" eb="6">
      <t>テイコウ</t>
    </rPh>
    <rPh sb="8" eb="9">
      <t>カゲ</t>
    </rPh>
    <rPh sb="16" eb="18">
      <t>クイキ</t>
    </rPh>
    <rPh sb="18" eb="19">
      <t>ナイ</t>
    </rPh>
    <rPh sb="20" eb="22">
      <t>トツゲキ</t>
    </rPh>
    <rPh sb="29" eb="31">
      <t>サンカ</t>
    </rPh>
    <rPh sb="33" eb="35">
      <t>ゼンゼン</t>
    </rPh>
    <phoneticPr fontId="1"/>
  </si>
  <si>
    <t>　　範囲攻撃に対してはスウィフト・エスケープがあるから、対近接一点絞りでOKっと言いたいトコだが、</t>
    <rPh sb="2" eb="4">
      <t>ハンイ</t>
    </rPh>
    <rPh sb="4" eb="6">
      <t>コウゲキ</t>
    </rPh>
    <rPh sb="7" eb="8">
      <t>タイ</t>
    </rPh>
    <rPh sb="28" eb="29">
      <t>タイ</t>
    </rPh>
    <rPh sb="29" eb="31">
      <t>キンセツ</t>
    </rPh>
    <rPh sb="31" eb="33">
      <t>イッテン</t>
    </rPh>
    <rPh sb="33" eb="34">
      <t>シボ</t>
    </rPh>
    <rPh sb="40" eb="41">
      <t>イ</t>
    </rPh>
    <phoneticPr fontId="1"/>
  </si>
  <si>
    <t>　　かなり個性が強くて、他の即応パワーとの使い分けのハードルが結構高い・・・。</t>
    <rPh sb="5" eb="7">
      <t>コセイ</t>
    </rPh>
    <rPh sb="8" eb="9">
      <t>ツヨ</t>
    </rPh>
    <rPh sb="12" eb="13">
      <t>ホカ</t>
    </rPh>
    <rPh sb="14" eb="16">
      <t>ソクオウ</t>
    </rPh>
    <rPh sb="21" eb="22">
      <t>ツカ</t>
    </rPh>
    <rPh sb="23" eb="24">
      <t>ワ</t>
    </rPh>
    <rPh sb="31" eb="33">
      <t>ケッコウ</t>
    </rPh>
    <rPh sb="33" eb="34">
      <t>タカ</t>
    </rPh>
    <phoneticPr fontId="1"/>
  </si>
  <si>
    <t>②絶対に攻撃を回避はしない</t>
    <rPh sb="1" eb="3">
      <t>ゼッタイ</t>
    </rPh>
    <rPh sb="4" eb="6">
      <t>コウゲキ</t>
    </rPh>
    <rPh sb="7" eb="9">
      <t>カイヒ</t>
    </rPh>
    <phoneticPr fontId="1"/>
  </si>
  <si>
    <r>
      <t>　　他の即応パワーと違って、</t>
    </r>
    <r>
      <rPr>
        <b/>
        <sz val="11"/>
        <color rgb="FFFF0000"/>
        <rFont val="ＭＳ Ｐゴシック"/>
        <family val="3"/>
        <charset val="128"/>
        <scheme val="minor"/>
      </rPr>
      <t>必ず攻撃はヒット</t>
    </r>
    <r>
      <rPr>
        <sz val="11"/>
        <rFont val="ＭＳ Ｐゴシック"/>
        <family val="2"/>
        <charset val="128"/>
        <scheme val="minor"/>
      </rPr>
      <t>してしまう・・・。</t>
    </r>
    <rPh sb="2" eb="3">
      <t>ホカ</t>
    </rPh>
    <rPh sb="4" eb="6">
      <t>ソクオウ</t>
    </rPh>
    <rPh sb="10" eb="11">
      <t>チガ</t>
    </rPh>
    <rPh sb="14" eb="15">
      <t>カナラ</t>
    </rPh>
    <rPh sb="16" eb="18">
      <t>コウゲキ</t>
    </rPh>
    <phoneticPr fontId="1"/>
  </si>
  <si>
    <t>　　ヒット効果が不明なパワーに対して使うのは、心理的ハードルが高い。</t>
    <rPh sb="5" eb="7">
      <t>コウカ</t>
    </rPh>
    <rPh sb="8" eb="10">
      <t>フメイ</t>
    </rPh>
    <rPh sb="15" eb="16">
      <t>タイ</t>
    </rPh>
    <rPh sb="18" eb="19">
      <t>ツカ</t>
    </rPh>
    <rPh sb="23" eb="26">
      <t>シンリテキ</t>
    </rPh>
    <rPh sb="31" eb="32">
      <t>タカ</t>
    </rPh>
    <phoneticPr fontId="1"/>
  </si>
  <si>
    <t>　　他のパワーで確実に回避可能ならば、わざわざイーライが喰らって実験する必要も無さそうなので</t>
    <rPh sb="2" eb="3">
      <t>ホカ</t>
    </rPh>
    <rPh sb="8" eb="10">
      <t>カクジツ</t>
    </rPh>
    <rPh sb="11" eb="13">
      <t>カイヒ</t>
    </rPh>
    <rPh sb="13" eb="15">
      <t>カノウ</t>
    </rPh>
    <rPh sb="28" eb="29">
      <t>ク</t>
    </rPh>
    <rPh sb="32" eb="34">
      <t>ジッケン</t>
    </rPh>
    <rPh sb="36" eb="38">
      <t>ヒツヨウ</t>
    </rPh>
    <rPh sb="39" eb="40">
      <t>ナ</t>
    </rPh>
    <phoneticPr fontId="1"/>
  </si>
  <si>
    <t>③ダメージ軽減効果は大きい</t>
    <rPh sb="5" eb="7">
      <t>ケイゲン</t>
    </rPh>
    <rPh sb="7" eb="9">
      <t>コウカ</t>
    </rPh>
    <rPh sb="10" eb="11">
      <t>オオ</t>
    </rPh>
    <phoneticPr fontId="1"/>
  </si>
  <si>
    <t>　　ダメージ以外の効果は全く防げないが、ダメージ軽減効果とその持続時間は中々。</t>
    <rPh sb="6" eb="8">
      <t>イガイ</t>
    </rPh>
    <rPh sb="9" eb="11">
      <t>コウカ</t>
    </rPh>
    <rPh sb="12" eb="13">
      <t>マッタ</t>
    </rPh>
    <rPh sb="14" eb="15">
      <t>フセ</t>
    </rPh>
    <rPh sb="24" eb="26">
      <t>ケイゲン</t>
    </rPh>
    <rPh sb="26" eb="28">
      <t>コウカ</t>
    </rPh>
    <rPh sb="31" eb="33">
      <t>ジゾク</t>
    </rPh>
    <rPh sb="33" eb="35">
      <t>ジカン</t>
    </rPh>
    <rPh sb="36" eb="38">
      <t>ナカナカ</t>
    </rPh>
    <phoneticPr fontId="1"/>
  </si>
  <si>
    <t>　　スウィフト・エスケープが使用可能ならば、そっちを優先した方が色々と無難そうか？</t>
    <rPh sb="14" eb="15">
      <t>ツカ</t>
    </rPh>
    <rPh sb="15" eb="16">
      <t>ヨウ</t>
    </rPh>
    <rPh sb="16" eb="18">
      <t>カノウ</t>
    </rPh>
    <rPh sb="26" eb="28">
      <t>ユウセン</t>
    </rPh>
    <rPh sb="30" eb="31">
      <t>ホウ</t>
    </rPh>
    <rPh sb="32" eb="34">
      <t>イロイロ</t>
    </rPh>
    <rPh sb="35" eb="37">
      <t>ブナン</t>
    </rPh>
    <phoneticPr fontId="1"/>
  </si>
  <si>
    <t>　　他の即応は攻撃を１回避けても即応故に次の攻撃に対しては即応で回避不可だが、</t>
    <rPh sb="2" eb="3">
      <t>ホカ</t>
    </rPh>
    <rPh sb="4" eb="6">
      <t>ソクオウ</t>
    </rPh>
    <rPh sb="7" eb="9">
      <t>コウゲキ</t>
    </rPh>
    <rPh sb="11" eb="12">
      <t>カイ</t>
    </rPh>
    <rPh sb="12" eb="13">
      <t>サ</t>
    </rPh>
    <rPh sb="16" eb="18">
      <t>ソクオウ</t>
    </rPh>
    <rPh sb="18" eb="19">
      <t>ユエ</t>
    </rPh>
    <rPh sb="20" eb="21">
      <t>ツギ</t>
    </rPh>
    <rPh sb="22" eb="24">
      <t>コウゲキ</t>
    </rPh>
    <rPh sb="25" eb="26">
      <t>タイ</t>
    </rPh>
    <rPh sb="29" eb="31">
      <t>ソクオウ</t>
    </rPh>
    <rPh sb="32" eb="34">
      <t>カイヒ</t>
    </rPh>
    <rPh sb="34" eb="36">
      <t>フカ</t>
    </rPh>
    <phoneticPr fontId="1"/>
  </si>
  <si>
    <t>　　コレならば幻惑しようが朦朧しようが、次の自分のターンが終わるまでは持続するので、</t>
    <rPh sb="7" eb="9">
      <t>ゲンワク</t>
    </rPh>
    <rPh sb="13" eb="15">
      <t>モウロウ</t>
    </rPh>
    <rPh sb="20" eb="21">
      <t>ツギ</t>
    </rPh>
    <rPh sb="22" eb="24">
      <t>ジブン</t>
    </rPh>
    <rPh sb="29" eb="30">
      <t>オ</t>
    </rPh>
    <rPh sb="35" eb="37">
      <t>ジゾク</t>
    </rPh>
    <phoneticPr fontId="1"/>
  </si>
  <si>
    <t>　　継続的ダメージにまで効果があるので、サバイバル能力は高い部類か？</t>
    <rPh sb="2" eb="4">
      <t>ケイゾク</t>
    </rPh>
    <rPh sb="4" eb="5">
      <t>テキ</t>
    </rPh>
    <rPh sb="12" eb="14">
      <t>コウカ</t>
    </rPh>
    <rPh sb="25" eb="27">
      <t>ノウリョク</t>
    </rPh>
    <rPh sb="28" eb="29">
      <t>タカ</t>
    </rPh>
    <rPh sb="30" eb="32">
      <t>ブルイ</t>
    </rPh>
    <phoneticPr fontId="1"/>
  </si>
  <si>
    <t>④敵の数が多い時に狙う</t>
    <rPh sb="1" eb="2">
      <t>テキ</t>
    </rPh>
    <rPh sb="3" eb="4">
      <t>カズ</t>
    </rPh>
    <rPh sb="5" eb="6">
      <t>オオ</t>
    </rPh>
    <rPh sb="7" eb="8">
      <t>トキ</t>
    </rPh>
    <rPh sb="9" eb="10">
      <t>ネラ</t>
    </rPh>
    <phoneticPr fontId="1"/>
  </si>
  <si>
    <t>　　対AC攻撃の喰らい易さには定評のあるイーライ故に</t>
    <rPh sb="2" eb="3">
      <t>タイ</t>
    </rPh>
    <rPh sb="5" eb="7">
      <t>コウゲキ</t>
    </rPh>
    <rPh sb="8" eb="9">
      <t>ク</t>
    </rPh>
    <rPh sb="11" eb="12">
      <t>ヤス</t>
    </rPh>
    <rPh sb="15" eb="17">
      <t>テイヒョウ</t>
    </rPh>
    <rPh sb="24" eb="25">
      <t>ユエ</t>
    </rPh>
    <phoneticPr fontId="1"/>
  </si>
  <si>
    <t>　　集団リンチのピンチ（普通は近接攻撃を連続で喰らう）には安心感が大きいハズ。</t>
    <rPh sb="2" eb="4">
      <t>シュウダン</t>
    </rPh>
    <rPh sb="12" eb="14">
      <t>フツウ</t>
    </rPh>
    <rPh sb="15" eb="17">
      <t>キンセツ</t>
    </rPh>
    <rPh sb="17" eb="19">
      <t>コウゲキ</t>
    </rPh>
    <rPh sb="20" eb="22">
      <t>レンゾク</t>
    </rPh>
    <rPh sb="23" eb="24">
      <t>ク</t>
    </rPh>
    <phoneticPr fontId="1"/>
  </si>
  <si>
    <r>
      <t>　　</t>
    </r>
    <r>
      <rPr>
        <b/>
        <sz val="11"/>
        <color rgb="FFFF0000"/>
        <rFont val="ＭＳ Ｐゴシック"/>
        <family val="3"/>
        <charset val="128"/>
        <scheme val="minor"/>
      </rPr>
      <t>敵から連続で攻撃される状況</t>
    </r>
    <r>
      <rPr>
        <sz val="11"/>
        <rFont val="ＭＳ Ｐゴシック"/>
        <family val="3"/>
        <charset val="128"/>
        <scheme val="minor"/>
      </rPr>
      <t>でこそ最大の効果が発揮されそう。</t>
    </r>
    <rPh sb="2" eb="3">
      <t>テキ</t>
    </rPh>
    <rPh sb="5" eb="7">
      <t>レンゾク</t>
    </rPh>
    <rPh sb="8" eb="10">
      <t>コウゲキ</t>
    </rPh>
    <rPh sb="13" eb="15">
      <t>ジョウキョウ</t>
    </rPh>
    <rPh sb="18" eb="20">
      <t>サイダイ</t>
    </rPh>
    <rPh sb="21" eb="23">
      <t>コウカ</t>
    </rPh>
    <rPh sb="24" eb="26">
      <t>ハッキ</t>
    </rPh>
    <phoneticPr fontId="1"/>
  </si>
  <si>
    <t>　　スウィフト・エスケープでも全ての敵から逃げきれないならば、</t>
    <rPh sb="15" eb="16">
      <t>スベ</t>
    </rPh>
    <rPh sb="18" eb="19">
      <t>テキ</t>
    </rPh>
    <rPh sb="21" eb="22">
      <t>ニ</t>
    </rPh>
    <phoneticPr fontId="1"/>
  </si>
  <si>
    <t>フォッグ・フォーム</t>
    <phoneticPr fontId="1"/>
  </si>
  <si>
    <t>　　ちなみに、あまり実用的ではないが非物質的である間は</t>
    <rPh sb="10" eb="13">
      <t>ジツヨウテキ</t>
    </rPh>
    <phoneticPr fontId="1"/>
  </si>
  <si>
    <t>　　強気で機会攻撃を誘発しながら歩いて敵から逃げる事も一応可能。</t>
    <rPh sb="2" eb="4">
      <t>ツヨキ</t>
    </rPh>
    <rPh sb="5" eb="7">
      <t>キカイ</t>
    </rPh>
    <rPh sb="7" eb="9">
      <t>コウゲキ</t>
    </rPh>
    <rPh sb="10" eb="12">
      <t>ユウハツ</t>
    </rPh>
    <rPh sb="16" eb="17">
      <t>アル</t>
    </rPh>
    <rPh sb="19" eb="20">
      <t>テキ</t>
    </rPh>
    <rPh sb="22" eb="23">
      <t>ニ</t>
    </rPh>
    <rPh sb="25" eb="26">
      <t>コト</t>
    </rPh>
    <rPh sb="27" eb="29">
      <t>イチオウ</t>
    </rPh>
    <rPh sb="29" eb="31">
      <t>カノウ</t>
    </rPh>
    <phoneticPr fontId="1"/>
  </si>
  <si>
    <t>　　遭遇の序盤からフォッグ・フォームという選択はアリか？</t>
    <rPh sb="2" eb="4">
      <t>ソウグウ</t>
    </rPh>
    <rPh sb="5" eb="7">
      <t>ジョバン</t>
    </rPh>
    <rPh sb="21" eb="23">
      <t>センタク</t>
    </rPh>
    <phoneticPr fontId="1"/>
  </si>
  <si>
    <t>　　１回の攻撃にしか効果を及ぼせない他のパワーとは全く違う変わり種。</t>
    <rPh sb="3" eb="4">
      <t>カイ</t>
    </rPh>
    <rPh sb="5" eb="7">
      <t>コウゲキ</t>
    </rPh>
    <rPh sb="10" eb="12">
      <t>コウカ</t>
    </rPh>
    <rPh sb="13" eb="14">
      <t>オヨ</t>
    </rPh>
    <rPh sb="18" eb="19">
      <t>ホカ</t>
    </rPh>
    <rPh sb="25" eb="26">
      <t>マッタ</t>
    </rPh>
    <rPh sb="27" eb="28">
      <t>チガ</t>
    </rPh>
    <rPh sb="29" eb="30">
      <t>カ</t>
    </rPh>
    <rPh sb="32" eb="33">
      <t>タネ</t>
    </rPh>
    <phoneticPr fontId="1"/>
  </si>
  <si>
    <t>　　正直言って性能があまりにも違っていて比較が難しい。</t>
    <rPh sb="2" eb="4">
      <t>ショウジキ</t>
    </rPh>
    <rPh sb="4" eb="5">
      <t>イ</t>
    </rPh>
    <rPh sb="7" eb="9">
      <t>セイノウ</t>
    </rPh>
    <rPh sb="15" eb="16">
      <t>チガ</t>
    </rPh>
    <rPh sb="20" eb="22">
      <t>ヒカク</t>
    </rPh>
    <rPh sb="23" eb="24">
      <t>ムズカ</t>
    </rPh>
    <phoneticPr fontId="1"/>
  </si>
  <si>
    <t>　　攻撃を絶対に喰らいたくない時は振り直しを優先するのはアリか？</t>
    <rPh sb="2" eb="4">
      <t>コウゲキ</t>
    </rPh>
    <rPh sb="5" eb="7">
      <t>ゼッタイ</t>
    </rPh>
    <rPh sb="8" eb="9">
      <t>ク</t>
    </rPh>
    <rPh sb="15" eb="16">
      <t>トキ</t>
    </rPh>
    <rPh sb="17" eb="18">
      <t>フ</t>
    </rPh>
    <rPh sb="19" eb="20">
      <t>ナオ</t>
    </rPh>
    <rPh sb="22" eb="24">
      <t>ユウセン</t>
    </rPh>
    <phoneticPr fontId="1"/>
  </si>
  <si>
    <t>⑤フォッグ・フォームと使い分ける</t>
    <phoneticPr fontId="1"/>
  </si>
  <si>
    <t>　　効果の持続時間を考えると、やはりフォッグ・フォームに軍配が上がる・・・。</t>
    <rPh sb="2" eb="4">
      <t>コウカ</t>
    </rPh>
    <rPh sb="5" eb="7">
      <t>ジゾク</t>
    </rPh>
    <rPh sb="7" eb="9">
      <t>ジカン</t>
    </rPh>
    <rPh sb="10" eb="11">
      <t>カンガ</t>
    </rPh>
    <rPh sb="28" eb="30">
      <t>グンバイ</t>
    </rPh>
    <rPh sb="31" eb="32">
      <t>ア</t>
    </rPh>
    <phoneticPr fontId="1"/>
  </si>
  <si>
    <t>　　ちなみにミス半減＆確定効果付きのパワーに対してはどっちを使っても結果にあまり差は無いが、</t>
    <rPh sb="8" eb="10">
      <t>ハンゲン</t>
    </rPh>
    <rPh sb="11" eb="13">
      <t>カクテイ</t>
    </rPh>
    <rPh sb="13" eb="15">
      <t>コウカ</t>
    </rPh>
    <rPh sb="15" eb="16">
      <t>ツ</t>
    </rPh>
    <rPh sb="22" eb="23">
      <t>タイ</t>
    </rPh>
    <rPh sb="30" eb="31">
      <t>ツカ</t>
    </rPh>
    <rPh sb="34" eb="36">
      <t>ケッカ</t>
    </rPh>
    <rPh sb="40" eb="41">
      <t>サ</t>
    </rPh>
    <rPh sb="42" eb="43">
      <t>ナ</t>
    </rPh>
    <phoneticPr fontId="1"/>
  </si>
  <si>
    <t>プライモーディアル・アデプト/攻撃/１　(元素56)</t>
    <rPh sb="15" eb="17">
      <t>コウゲキ</t>
    </rPh>
    <rPh sb="21" eb="23">
      <t>ゲンソ</t>
    </rPh>
    <phoneticPr fontId="1"/>
  </si>
  <si>
    <t>ライトニング・ダガーズ</t>
    <phoneticPr fontId="1"/>
  </si>
  <si>
    <t>ソーサラー／攻撃／１５　（秘68）</t>
    <rPh sb="13" eb="14">
      <t>ヒ</t>
    </rPh>
    <phoneticPr fontId="1"/>
  </si>
  <si>
    <t>[一日毎]◆[装具][電撃][秘術]</t>
    <rPh sb="7" eb="9">
      <t>ソウグ</t>
    </rPh>
    <rPh sb="11" eb="13">
      <t>デンゲキ</t>
    </rPh>
    <rPh sb="15" eb="17">
      <t>ヒジュツ</t>
    </rPh>
    <phoneticPr fontId="1"/>
  </si>
  <si>
    <t>(２ｄ４＋【魅】)の[電撃]ダメージ</t>
    <rPh sb="11" eb="13">
      <t>デンゲキ</t>
    </rPh>
    <phoneticPr fontId="1"/>
  </si>
  <si>
    <t>この遭遇の終了時まで、使用者は１Ｒに１回、自分のターンに、</t>
    <rPh sb="2" eb="4">
      <t>ソウグウ</t>
    </rPh>
    <rPh sb="5" eb="7">
      <t>シュウリョウ</t>
    </rPh>
    <rPh sb="7" eb="8">
      <t>ジ</t>
    </rPh>
    <rPh sb="11" eb="13">
      <t>シヨウ</t>
    </rPh>
    <rPh sb="13" eb="14">
      <t>シャ</t>
    </rPh>
    <rPh sb="19" eb="20">
      <t>カイ</t>
    </rPh>
    <rPh sb="21" eb="23">
      <t>ジブン</t>
    </rPh>
    <phoneticPr fontId="1"/>
  </si>
  <si>
    <t>ＦＡとしてこの攻撃を繰り返す事ができる。</t>
    <rPh sb="7" eb="9">
      <t>コウゲキ</t>
    </rPh>
    <rPh sb="10" eb="11">
      <t>ク</t>
    </rPh>
    <rPh sb="12" eb="13">
      <t>カエ</t>
    </rPh>
    <rPh sb="14" eb="15">
      <t>コト</t>
    </rPh>
    <phoneticPr fontId="1"/>
  </si>
  <si>
    <t>手数を増やしたい時に使う、以上。</t>
    <rPh sb="0" eb="2">
      <t>テカズ</t>
    </rPh>
    <rPh sb="3" eb="4">
      <t>フ</t>
    </rPh>
    <rPh sb="8" eb="9">
      <t>トキ</t>
    </rPh>
    <rPh sb="10" eb="11">
      <t>ツカ</t>
    </rPh>
    <rPh sb="13" eb="15">
      <t>イジョウ</t>
    </rPh>
    <phoneticPr fontId="1"/>
  </si>
  <si>
    <t>アイアーの脆弱性とも相性が良いし、雑魚掃除にも柔軟に対応可能。</t>
    <rPh sb="5" eb="8">
      <t>ゼイジャクセイ</t>
    </rPh>
    <rPh sb="10" eb="12">
      <t>アイショウ</t>
    </rPh>
    <rPh sb="13" eb="14">
      <t>ヨ</t>
    </rPh>
    <rPh sb="17" eb="19">
      <t>ザコ</t>
    </rPh>
    <rPh sb="19" eb="21">
      <t>ソウジ</t>
    </rPh>
    <rPh sb="23" eb="25">
      <t>ジュウナン</t>
    </rPh>
    <rPh sb="26" eb="28">
      <t>タイオウ</t>
    </rPh>
    <rPh sb="28" eb="30">
      <t>カノウ</t>
    </rPh>
    <phoneticPr fontId="1"/>
  </si>
  <si>
    <t>※《雷鳴の残響》(PHⅡ188)</t>
    <phoneticPr fontId="1"/>
  </si>
  <si>
    <r>
      <t>　　次の自T終了まで、</t>
    </r>
    <r>
      <rPr>
        <b/>
        <sz val="11"/>
        <color rgb="FFFF0000"/>
        <rFont val="ＭＳ Ｐゴシック"/>
        <family val="3"/>
        <charset val="128"/>
        <scheme val="minor"/>
      </rPr>
      <t>ダメージRに＋２</t>
    </r>
    <r>
      <rPr>
        <sz val="11"/>
        <color theme="1"/>
        <rFont val="ＭＳ Ｐゴシック"/>
        <family val="2"/>
        <charset val="128"/>
        <scheme val="minor"/>
      </rPr>
      <t>のボーナスを得る。</t>
    </r>
    <rPh sb="2" eb="3">
      <t>ツギ</t>
    </rPh>
    <rPh sb="4" eb="5">
      <t>ジ</t>
    </rPh>
    <rPh sb="6" eb="8">
      <t>シュウリョウ</t>
    </rPh>
    <rPh sb="25" eb="26">
      <t>エ</t>
    </rPh>
    <phoneticPr fontId="1"/>
  </si>
  <si>
    <r>
      <t>　　[</t>
    </r>
    <r>
      <rPr>
        <b/>
        <sz val="11"/>
        <color rgb="FFFF0000"/>
        <rFont val="ＭＳ Ｐゴシック"/>
        <family val="3"/>
        <charset val="128"/>
        <scheme val="minor"/>
      </rPr>
      <t>雷鳴</t>
    </r>
    <r>
      <rPr>
        <sz val="11"/>
        <color theme="1"/>
        <rFont val="ＭＳ Ｐゴシック"/>
        <family val="3"/>
        <charset val="128"/>
        <scheme val="minor"/>
      </rPr>
      <t>]攻撃パワーを</t>
    </r>
    <r>
      <rPr>
        <b/>
        <sz val="11"/>
        <color rgb="FFFF0000"/>
        <rFont val="ＭＳ Ｐゴシック"/>
        <family val="3"/>
        <charset val="128"/>
        <scheme val="minor"/>
      </rPr>
      <t>ヒットさせた</t>
    </r>
    <r>
      <rPr>
        <sz val="11"/>
        <color theme="1"/>
        <rFont val="ＭＳ Ｐゴシック"/>
        <family val="3"/>
        <charset val="128"/>
        <scheme val="minor"/>
      </rPr>
      <t>場合、</t>
    </r>
    <rPh sb="3" eb="5">
      <t>ライメイ</t>
    </rPh>
    <rPh sb="6" eb="8">
      <t>コウゲキ</t>
    </rPh>
    <rPh sb="18" eb="20">
      <t>バアイ</t>
    </rPh>
    <phoneticPr fontId="1"/>
  </si>
  <si>
    <t>雷鳴の残響</t>
    <phoneticPr fontId="1"/>
  </si>
  <si>
    <t>②２マスまで押しやり（その気になれば、敵をかなり運べる）</t>
    <rPh sb="6" eb="7">
      <t>オ</t>
    </rPh>
    <rPh sb="13" eb="14">
      <t>キ</t>
    </rPh>
    <rPh sb="19" eb="20">
      <t>テキ</t>
    </rPh>
    <rPh sb="24" eb="25">
      <t>ハコ</t>
    </rPh>
    <phoneticPr fontId="1"/>
  </si>
  <si>
    <r>
      <t>※《</t>
    </r>
    <r>
      <rPr>
        <b/>
        <sz val="12"/>
        <color rgb="FFFF0000"/>
        <rFont val="ＭＳ Ｐゴシック"/>
        <family val="3"/>
        <charset val="128"/>
        <scheme val="minor"/>
      </rPr>
      <t>雷鳴の残響</t>
    </r>
    <r>
      <rPr>
        <b/>
        <sz val="12"/>
        <color theme="1"/>
        <rFont val="ＭＳ Ｐゴシック"/>
        <family val="3"/>
        <charset val="128"/>
        <scheme val="minor"/>
      </rPr>
      <t>》(PHⅡ188)</t>
    </r>
    <phoneticPr fontId="1"/>
  </si>
  <si>
    <r>
      <t>③元々かなりの高ダメ―ジ故に、アイアーの脆弱性には拘らなくても良い。　　</t>
    </r>
    <r>
      <rPr>
        <b/>
        <sz val="11"/>
        <color rgb="FFFF0000"/>
        <rFont val="ＭＳ Ｐゴシック"/>
        <family val="3"/>
        <charset val="128"/>
        <scheme val="minor"/>
      </rPr>
      <t>トドメ重視</t>
    </r>
    <r>
      <rPr>
        <sz val="11"/>
        <color theme="1"/>
        <rFont val="ＭＳ Ｐゴシック"/>
        <family val="3"/>
        <charset val="128"/>
        <scheme val="minor"/>
      </rPr>
      <t>！</t>
    </r>
    <rPh sb="1" eb="3">
      <t>モトモト</t>
    </rPh>
    <rPh sb="7" eb="8">
      <t>コウ</t>
    </rPh>
    <rPh sb="12" eb="13">
      <t>ユエ</t>
    </rPh>
    <rPh sb="20" eb="23">
      <t>ゼイジャクセイ</t>
    </rPh>
    <rPh sb="25" eb="26">
      <t>コダワ</t>
    </rPh>
    <rPh sb="31" eb="32">
      <t>ヨ</t>
    </rPh>
    <rPh sb="39" eb="41">
      <t>ジュウシ</t>
    </rPh>
    <phoneticPr fontId="1"/>
  </si>
  <si>
    <t>ヒット時には《雷鳴の残響》の宣言、忘れずに！</t>
    <rPh sb="3" eb="4">
      <t>ジ</t>
    </rPh>
    <rPh sb="14" eb="16">
      <t>センゲン</t>
    </rPh>
    <rPh sb="17" eb="18">
      <t>ワス</t>
    </rPh>
    <phoneticPr fontId="1"/>
  </si>
  <si>
    <t>②対反応ではなく対頑健である点は、両刃の剣か？　他のパワーとの使い分けの余地はアリ。</t>
    <rPh sb="1" eb="2">
      <t>タイ</t>
    </rPh>
    <rPh sb="2" eb="3">
      <t>ハン</t>
    </rPh>
    <rPh sb="3" eb="4">
      <t>オウ</t>
    </rPh>
    <rPh sb="8" eb="9">
      <t>タイ</t>
    </rPh>
    <rPh sb="9" eb="11">
      <t>ガンケン</t>
    </rPh>
    <rPh sb="14" eb="15">
      <t>テン</t>
    </rPh>
    <rPh sb="17" eb="19">
      <t>リョウバ</t>
    </rPh>
    <rPh sb="20" eb="21">
      <t>ケン</t>
    </rPh>
    <rPh sb="24" eb="25">
      <t>ホカ</t>
    </rPh>
    <rPh sb="31" eb="32">
      <t>ツカ</t>
    </rPh>
    <rPh sb="33" eb="34">
      <t>ワ</t>
    </rPh>
    <rPh sb="36" eb="38">
      <t>ヨチ</t>
    </rPh>
    <phoneticPr fontId="1"/>
  </si>
  <si>
    <t>③暴れ役や兵士役に対して先手を取れたならば有効だが、対頑健なのがネック・・・。</t>
    <rPh sb="1" eb="2">
      <t>アバ</t>
    </rPh>
    <rPh sb="3" eb="4">
      <t>ヤク</t>
    </rPh>
    <rPh sb="5" eb="7">
      <t>ヘイシ</t>
    </rPh>
    <rPh sb="7" eb="8">
      <t>ヤク</t>
    </rPh>
    <rPh sb="9" eb="10">
      <t>タイ</t>
    </rPh>
    <rPh sb="12" eb="14">
      <t>センテ</t>
    </rPh>
    <rPh sb="15" eb="16">
      <t>ト</t>
    </rPh>
    <rPh sb="21" eb="23">
      <t>ユウコウ</t>
    </rPh>
    <rPh sb="26" eb="27">
      <t>タイ</t>
    </rPh>
    <rPh sb="27" eb="29">
      <t>ガンケン</t>
    </rPh>
    <phoneticPr fontId="1"/>
  </si>
  <si>
    <t>④かなり効果範囲が広いので、雑魚掃除に使っても全然ＯＫ！　しかし、対頑健なのが・・・。</t>
    <rPh sb="4" eb="6">
      <t>コウカ</t>
    </rPh>
    <rPh sb="6" eb="8">
      <t>ハンイ</t>
    </rPh>
    <rPh sb="9" eb="10">
      <t>ヒロ</t>
    </rPh>
    <rPh sb="14" eb="16">
      <t>ザコ</t>
    </rPh>
    <rPh sb="16" eb="18">
      <t>ソウジ</t>
    </rPh>
    <rPh sb="19" eb="20">
      <t>ツカ</t>
    </rPh>
    <rPh sb="23" eb="25">
      <t>ゼンゼン</t>
    </rPh>
    <phoneticPr fontId="1"/>
  </si>
  <si>
    <t>リュカオンのウェイト・オヴ・アースがイマイチなのは近接パワーである事以外に理由は無いので、</t>
    <rPh sb="25" eb="27">
      <t>キンセツ</t>
    </rPh>
    <rPh sb="33" eb="34">
      <t>コト</t>
    </rPh>
    <rPh sb="34" eb="36">
      <t>イガイ</t>
    </rPh>
    <rPh sb="37" eb="39">
      <t>リユウ</t>
    </rPh>
    <rPh sb="40" eb="41">
      <t>ナ</t>
    </rPh>
    <phoneticPr fontId="1"/>
  </si>
  <si>
    <t>ミスツ・オヴ・ディスアレー亡き今、本命の強制移動パワー！</t>
    <rPh sb="13" eb="14">
      <t>ナ</t>
    </rPh>
    <rPh sb="15" eb="16">
      <t>イマ</t>
    </rPh>
    <rPh sb="17" eb="19">
      <t>ホンメイ</t>
    </rPh>
    <rPh sb="20" eb="22">
      <t>キョウセイ</t>
    </rPh>
    <rPh sb="22" eb="24">
      <t>イドウ</t>
    </rPh>
    <phoneticPr fontId="1"/>
  </si>
  <si>
    <t>敵に近付かれて苦労しているタンナイズを救出して、トウムハンドをフォローするのがメインだが、</t>
    <rPh sb="0" eb="1">
      <t>テキ</t>
    </rPh>
    <rPh sb="2" eb="4">
      <t>チカヅ</t>
    </rPh>
    <rPh sb="7" eb="9">
      <t>クロウ</t>
    </rPh>
    <rPh sb="19" eb="21">
      <t>キュウシュツ</t>
    </rPh>
    <phoneticPr fontId="1"/>
  </si>
  <si>
    <t>オテギヌのチョロＱのサポートにもなるので、色々と融通が効きそう。</t>
    <rPh sb="21" eb="23">
      <t>イロイロ</t>
    </rPh>
    <rPh sb="24" eb="26">
      <t>ユウヅウ</t>
    </rPh>
    <rPh sb="27" eb="28">
      <t>キ</t>
    </rPh>
    <phoneticPr fontId="1"/>
  </si>
  <si>
    <t>①珍しく近接爆発</t>
    <rPh sb="1" eb="2">
      <t>メズラ</t>
    </rPh>
    <rPh sb="4" eb="6">
      <t>キンセツ</t>
    </rPh>
    <rPh sb="6" eb="8">
      <t>バクハツ</t>
    </rPh>
    <phoneticPr fontId="1"/>
  </si>
  <si>
    <t>ヒット１発目の時点で《雷鳴の残響》の宣言、忘れずに！</t>
    <rPh sb="7" eb="9">
      <t>ジテン</t>
    </rPh>
    <rPh sb="18" eb="20">
      <t>センゲン</t>
    </rPh>
    <rPh sb="21" eb="22">
      <t>ワス</t>
    </rPh>
    <phoneticPr fontId="1"/>
  </si>
  <si>
    <t>先手を取って伏せにするメリットとは？</t>
    <rPh sb="0" eb="2">
      <t>センテ</t>
    </rPh>
    <rPh sb="3" eb="4">
      <t>ト</t>
    </rPh>
    <rPh sb="6" eb="7">
      <t>フ</t>
    </rPh>
    <phoneticPr fontId="1"/>
  </si>
  <si>
    <t>敵の間合いの遥か彼方から伏せにすれば、ハメ技になり得る！</t>
    <rPh sb="0" eb="1">
      <t>テキ</t>
    </rPh>
    <rPh sb="2" eb="4">
      <t>マア</t>
    </rPh>
    <rPh sb="6" eb="7">
      <t>ハル</t>
    </rPh>
    <rPh sb="8" eb="10">
      <t>カナタ</t>
    </rPh>
    <rPh sb="12" eb="13">
      <t>フ</t>
    </rPh>
    <rPh sb="21" eb="22">
      <t>ワザ</t>
    </rPh>
    <rPh sb="25" eb="26">
      <t>ウ</t>
    </rPh>
    <phoneticPr fontId="1"/>
  </si>
  <si>
    <r>
      <t>　　アシッド・オーブに[</t>
    </r>
    <r>
      <rPr>
        <b/>
        <sz val="11"/>
        <color rgb="FFFF0000"/>
        <rFont val="ＭＳ Ｐゴシック"/>
        <family val="3"/>
        <charset val="128"/>
        <scheme val="minor"/>
      </rPr>
      <t>雷鳴</t>
    </r>
    <r>
      <rPr>
        <sz val="11"/>
        <color theme="1"/>
        <rFont val="ＭＳ Ｐゴシック"/>
        <family val="3"/>
        <charset val="128"/>
        <scheme val="minor"/>
      </rPr>
      <t>]属性を追加。</t>
    </r>
    <rPh sb="12" eb="14">
      <t>ライメイ</t>
    </rPh>
    <rPh sb="15" eb="17">
      <t>ゾクセイ</t>
    </rPh>
    <rPh sb="18" eb="20">
      <t>ツイカ</t>
    </rPh>
    <phoneticPr fontId="1"/>
  </si>
  <si>
    <t>※《秘術の混合》(秘術132)</t>
    <rPh sb="9" eb="11">
      <t>ヒジュツ</t>
    </rPh>
    <phoneticPr fontId="1"/>
  </si>
  <si>
    <r>
      <t>　　そのパワーの</t>
    </r>
    <r>
      <rPr>
        <b/>
        <sz val="11"/>
        <color rgb="FFFF0000"/>
        <rFont val="ＭＳ Ｐゴシック"/>
        <family val="3"/>
        <charset val="128"/>
        <scheme val="minor"/>
      </rPr>
      <t>ダメージRに＋２</t>
    </r>
    <r>
      <rPr>
        <sz val="11"/>
        <color theme="1"/>
        <rFont val="ＭＳ Ｐゴシック"/>
        <family val="3"/>
        <charset val="128"/>
        <scheme val="minor"/>
      </rPr>
      <t>ボーナスを加える。(Lv11：＋３ Lv21：＋４)</t>
    </r>
    <rPh sb="21" eb="22">
      <t>クワ</t>
    </rPh>
    <phoneticPr fontId="1"/>
  </si>
  <si>
    <t>※上級装具：エネルギー増幅[雷鳴](PHⅢ197)</t>
    <rPh sb="1" eb="3">
      <t>ジョウキュウ</t>
    </rPh>
    <rPh sb="3" eb="5">
      <t>ソウグ</t>
    </rPh>
    <rPh sb="11" eb="13">
      <t>ゾウフク</t>
    </rPh>
    <rPh sb="14" eb="16">
      <t>ライメイ</t>
    </rPh>
    <phoneticPr fontId="1"/>
  </si>
  <si>
    <t>④その他特化要素</t>
    <rPh sb="3" eb="4">
      <t>タ</t>
    </rPh>
    <rPh sb="4" eb="6">
      <t>トッカ</t>
    </rPh>
    <rPh sb="6" eb="8">
      <t>ヨウソ</t>
    </rPh>
    <phoneticPr fontId="1"/>
  </si>
  <si>
    <t>③範囲攻撃強化</t>
    <rPh sb="1" eb="3">
      <t>ハンイ</t>
    </rPh>
    <rPh sb="3" eb="5">
      <t>コウゲキ</t>
    </rPh>
    <rPh sb="5" eb="7">
      <t>キョウカ</t>
    </rPh>
    <phoneticPr fontId="1"/>
  </si>
  <si>
    <t>※《撃ち下ろし射撃》(PHⅢ103)</t>
  </si>
  <si>
    <r>
      <t>目標は１回の</t>
    </r>
    <r>
      <rPr>
        <b/>
        <sz val="11"/>
        <color rgb="FFFF0000"/>
        <rFont val="ＭＳ Ｐゴシック"/>
        <family val="3"/>
        <charset val="128"/>
        <scheme val="minor"/>
      </rPr>
      <t>FA</t>
    </r>
    <r>
      <rPr>
        <sz val="11"/>
        <rFont val="ＭＳ Ｐゴシック"/>
        <family val="3"/>
        <charset val="128"/>
        <scheme val="minor"/>
      </rPr>
      <t>として使用者の【敏】に等しいマスだけ</t>
    </r>
    <r>
      <rPr>
        <b/>
        <sz val="11"/>
        <color rgb="FFFF0000"/>
        <rFont val="ＭＳ Ｐゴシック"/>
        <family val="3"/>
        <charset val="128"/>
        <scheme val="minor"/>
      </rPr>
      <t>飛行</t>
    </r>
    <r>
      <rPr>
        <sz val="11"/>
        <rFont val="ＭＳ Ｐゴシック"/>
        <family val="3"/>
        <charset val="128"/>
        <scheme val="minor"/>
      </rPr>
      <t>移動することができる。</t>
    </r>
    <phoneticPr fontId="1"/>
  </si>
  <si>
    <t>アクション</t>
    <phoneticPr fontId="1"/>
  </si>
  <si>
    <t>[無限回]◆［秘術］</t>
    <rPh sb="1" eb="3">
      <t>ムゲン</t>
    </rPh>
    <rPh sb="3" eb="4">
      <t>カイ</t>
    </rPh>
    <rPh sb="7" eb="9">
      <t>ヒジュツ</t>
    </rPh>
    <phoneticPr fontId="1"/>
  </si>
  <si>
    <t>キーワード</t>
    <phoneticPr fontId="1"/>
  </si>
  <si>
    <t>ソーサラー／汎用／１６　（秘68）</t>
    <rPh sb="6" eb="8">
      <t>ハンヨウ</t>
    </rPh>
    <rPh sb="13" eb="14">
      <t>ヒ</t>
    </rPh>
    <phoneticPr fontId="1"/>
  </si>
  <si>
    <t>ドミナント・ウィンズ</t>
    <phoneticPr fontId="1"/>
  </si>
  <si>
    <r>
      <t>　　君は[</t>
    </r>
    <r>
      <rPr>
        <b/>
        <sz val="11"/>
        <color rgb="FFFF0000"/>
        <rFont val="ＭＳ Ｐゴシック"/>
        <family val="3"/>
        <charset val="128"/>
        <scheme val="minor"/>
      </rPr>
      <t>雷鳴</t>
    </r>
    <r>
      <rPr>
        <sz val="11"/>
        <color theme="1"/>
        <rFont val="ＭＳ Ｐゴシック"/>
        <family val="3"/>
        <charset val="128"/>
        <scheme val="minor"/>
      </rPr>
      <t>]キーワードを持つ”噴射”か”爆発”の</t>
    </r>
    <r>
      <rPr>
        <b/>
        <sz val="11"/>
        <color rgb="FFFF0000"/>
        <rFont val="ＭＳ Ｐゴシック"/>
        <family val="3"/>
        <charset val="128"/>
        <scheme val="minor"/>
      </rPr>
      <t>効果範囲</t>
    </r>
    <r>
      <rPr>
        <sz val="11"/>
        <color theme="1"/>
        <rFont val="ＭＳ Ｐゴシック"/>
        <family val="3"/>
        <charset val="128"/>
        <scheme val="minor"/>
      </rPr>
      <t>の大きさを</t>
    </r>
    <r>
      <rPr>
        <b/>
        <sz val="11"/>
        <color rgb="FFFF0000"/>
        <rFont val="ＭＳ Ｐゴシック"/>
        <family val="3"/>
        <charset val="128"/>
        <scheme val="minor"/>
      </rPr>
      <t>１だけ増加</t>
    </r>
    <r>
      <rPr>
        <sz val="11"/>
        <color theme="1"/>
        <rFont val="ＭＳ Ｐゴシック"/>
        <family val="3"/>
        <charset val="128"/>
        <scheme val="minor"/>
      </rPr>
      <t>させることができる。</t>
    </r>
    <rPh sb="2" eb="3">
      <t>キミ</t>
    </rPh>
    <rPh sb="5" eb="7">
      <t>ライメイ</t>
    </rPh>
    <rPh sb="14" eb="15">
      <t>モ</t>
    </rPh>
    <rPh sb="17" eb="19">
      <t>フンシャ</t>
    </rPh>
    <rPh sb="22" eb="24">
      <t>バクハツ</t>
    </rPh>
    <rPh sb="26" eb="28">
      <t>コウカ</t>
    </rPh>
    <rPh sb="28" eb="30">
      <t>ハンイ</t>
    </rPh>
    <rPh sb="31" eb="32">
      <t>オオ</t>
    </rPh>
    <rPh sb="38" eb="40">
      <t>ゾウカ</t>
    </rPh>
    <phoneticPr fontId="1"/>
  </si>
  <si>
    <r>
      <t>　　装具を用いて攻撃パワーを使用した際、そのパワーが[</t>
    </r>
    <r>
      <rPr>
        <b/>
        <sz val="11"/>
        <color rgb="FFFF0000"/>
        <rFont val="ＭＳ Ｐゴシック"/>
        <family val="3"/>
        <charset val="128"/>
        <scheme val="minor"/>
      </rPr>
      <t>雷鳴</t>
    </r>
    <r>
      <rPr>
        <sz val="11"/>
        <color theme="1"/>
        <rFont val="ＭＳ Ｐゴシック"/>
        <family val="3"/>
        <charset val="128"/>
        <scheme val="minor"/>
      </rPr>
      <t>]のキーワードを有していたなら</t>
    </r>
    <rPh sb="2" eb="4">
      <t>ソウグ</t>
    </rPh>
    <rPh sb="5" eb="6">
      <t>モチ</t>
    </rPh>
    <rPh sb="8" eb="10">
      <t>コウゲキ</t>
    </rPh>
    <rPh sb="14" eb="16">
      <t>シヨウ</t>
    </rPh>
    <rPh sb="18" eb="19">
      <t>サイ</t>
    </rPh>
    <rPh sb="27" eb="29">
      <t>ライメイ</t>
    </rPh>
    <rPh sb="37" eb="38">
      <t>ユウ</t>
    </rPh>
    <phoneticPr fontId="1"/>
  </si>
  <si>
    <t>②命中ＵＰ要素＋α</t>
    <phoneticPr fontId="1"/>
  </si>
  <si>
    <t>③伏せを克服</t>
    <phoneticPr fontId="1"/>
  </si>
  <si>
    <t>③超射程が長い</t>
    <phoneticPr fontId="1"/>
  </si>
  <si>
    <t>④伏せを克服</t>
    <phoneticPr fontId="1"/>
  </si>
  <si>
    <r>
      <t>※《秘術の混合》(秘術132)　</t>
    </r>
    <r>
      <rPr>
        <sz val="11"/>
        <color theme="1"/>
        <rFont val="ＭＳ Ｐゴシック"/>
        <family val="3"/>
        <charset val="128"/>
        <scheme val="minor"/>
      </rPr>
      <t>[</t>
    </r>
    <r>
      <rPr>
        <b/>
        <sz val="11"/>
        <color rgb="FFFF0000"/>
        <rFont val="ＭＳ Ｐゴシック"/>
        <family val="3"/>
        <charset val="128"/>
        <scheme val="minor"/>
      </rPr>
      <t>雷鳴</t>
    </r>
    <r>
      <rPr>
        <sz val="11"/>
        <color theme="1"/>
        <rFont val="ＭＳ Ｐゴシック"/>
        <family val="3"/>
        <charset val="128"/>
        <scheme val="minor"/>
      </rPr>
      <t>]属性追加</t>
    </r>
    <phoneticPr fontId="1"/>
  </si>
  <si>
    <r>
      <t>①</t>
    </r>
    <r>
      <rPr>
        <b/>
        <sz val="11"/>
        <color rgb="FFFF0000"/>
        <rFont val="ＭＳ Ｐゴシック"/>
        <family val="3"/>
        <charset val="128"/>
        <scheme val="minor"/>
      </rPr>
      <t>無双の反応でブチ込みたかった</t>
    </r>
    <r>
      <rPr>
        <sz val="11"/>
        <rFont val="ＭＳ Ｐゴシック"/>
        <family val="3"/>
        <charset val="128"/>
        <scheme val="minor"/>
      </rPr>
      <t>パワーの筆頭格！　（しかし、そのような遭遇は少なかった）</t>
    </r>
    <rPh sb="1" eb="3">
      <t>ムソウ</t>
    </rPh>
    <rPh sb="4" eb="6">
      <t>ハンノウ</t>
    </rPh>
    <rPh sb="9" eb="10">
      <t>コ</t>
    </rPh>
    <rPh sb="19" eb="21">
      <t>ヒットウ</t>
    </rPh>
    <rPh sb="21" eb="22">
      <t>カク</t>
    </rPh>
    <rPh sb="34" eb="36">
      <t>ソウグウ</t>
    </rPh>
    <rPh sb="37" eb="38">
      <t>スク</t>
    </rPh>
    <phoneticPr fontId="1"/>
  </si>
  <si>
    <t>①効果範囲の広さを活かして足止めに使いたいが、減速は不確定なのがネック・・・。</t>
    <rPh sb="1" eb="3">
      <t>コウカ</t>
    </rPh>
    <rPh sb="3" eb="5">
      <t>ハンイ</t>
    </rPh>
    <rPh sb="6" eb="7">
      <t>ヒロ</t>
    </rPh>
    <rPh sb="9" eb="10">
      <t>イ</t>
    </rPh>
    <rPh sb="13" eb="14">
      <t>アシ</t>
    </rPh>
    <rPh sb="14" eb="15">
      <t>ト</t>
    </rPh>
    <rPh sb="17" eb="18">
      <t>ツカ</t>
    </rPh>
    <phoneticPr fontId="1"/>
  </si>
  <si>
    <t>②酸ダメージ（トロールに有効）だけでなく二重属性になったので、抵抗に対しても強い</t>
    <rPh sb="1" eb="2">
      <t>サン</t>
    </rPh>
    <rPh sb="12" eb="14">
      <t>ユウコウ</t>
    </rPh>
    <rPh sb="20" eb="22">
      <t>ニジュウ</t>
    </rPh>
    <rPh sb="22" eb="24">
      <t>ゾクセイ</t>
    </rPh>
    <rPh sb="31" eb="33">
      <t>テイコウ</t>
    </rPh>
    <rPh sb="34" eb="35">
      <t>タイ</t>
    </rPh>
    <rPh sb="38" eb="39">
      <t>ツヨ</t>
    </rPh>
    <phoneticPr fontId="1"/>
  </si>
  <si>
    <r>
      <t>※《</t>
    </r>
    <r>
      <rPr>
        <b/>
        <sz val="12"/>
        <color rgb="FFFF0000"/>
        <rFont val="ＭＳ Ｐゴシック"/>
        <family val="3"/>
        <charset val="128"/>
        <scheme val="minor"/>
      </rPr>
      <t>雷鳴の残響</t>
    </r>
    <r>
      <rPr>
        <b/>
        <sz val="12"/>
        <color theme="1"/>
        <rFont val="ＭＳ Ｐゴシック"/>
        <family val="3"/>
        <charset val="128"/>
        <scheme val="minor"/>
      </rPr>
      <t>》(PHⅡ188)</t>
    </r>
    <phoneticPr fontId="1"/>
  </si>
  <si>
    <r>
      <t>⑥味方からもらった基礎攻撃でも《</t>
    </r>
    <r>
      <rPr>
        <b/>
        <sz val="11"/>
        <color rgb="FFFF0000"/>
        <rFont val="ＭＳ Ｐゴシック"/>
        <family val="3"/>
        <charset val="128"/>
        <scheme val="minor"/>
      </rPr>
      <t>雷鳴の残響</t>
    </r>
    <r>
      <rPr>
        <sz val="11"/>
        <color theme="1"/>
        <rFont val="ＭＳ Ｐゴシック"/>
        <family val="3"/>
        <charset val="128"/>
        <scheme val="minor"/>
      </rPr>
      <t>》のトリガーになるのは凄い</t>
    </r>
    <rPh sb="1" eb="3">
      <t>ミカタ</t>
    </rPh>
    <rPh sb="9" eb="11">
      <t>キソ</t>
    </rPh>
    <rPh sb="11" eb="13">
      <t>コウゲキ</t>
    </rPh>
    <rPh sb="32" eb="33">
      <t>スゴ</t>
    </rPh>
    <phoneticPr fontId="1"/>
  </si>
  <si>
    <t>⑤アイテム＆特技で命中、ダメージ共に大幅に強化！　本当にダメージが高い</t>
    <rPh sb="6" eb="8">
      <t>トクギ</t>
    </rPh>
    <rPh sb="18" eb="20">
      <t>オオハバ</t>
    </rPh>
    <rPh sb="25" eb="27">
      <t>ホントウ</t>
    </rPh>
    <rPh sb="33" eb="34">
      <t>タカ</t>
    </rPh>
    <phoneticPr fontId="1"/>
  </si>
  <si>
    <t>使用者、または爆発の範囲内の味方１人</t>
    <phoneticPr fontId="1"/>
  </si>
  <si>
    <t>①無双の反応が無意味な遭遇でこそ有効？</t>
    <rPh sb="1" eb="3">
      <t>ムソウ</t>
    </rPh>
    <rPh sb="4" eb="6">
      <t>ハンノウ</t>
    </rPh>
    <rPh sb="7" eb="10">
      <t>ムイミ</t>
    </rPh>
    <rPh sb="11" eb="13">
      <t>ソウグウ</t>
    </rPh>
    <rPh sb="16" eb="18">
      <t>ユウコウ</t>
    </rPh>
    <phoneticPr fontId="1"/>
  </si>
  <si>
    <t>スウィフト・エスケープ</t>
    <phoneticPr fontId="1"/>
  </si>
  <si>
    <t>　　自分の足で歩くのが馬鹿馬鹿しくなる程の高性能・・・！</t>
    <rPh sb="2" eb="4">
      <t>ジブン</t>
    </rPh>
    <rPh sb="5" eb="6">
      <t>アシ</t>
    </rPh>
    <rPh sb="7" eb="8">
      <t>アル</t>
    </rPh>
    <rPh sb="11" eb="15">
      <t>バカバカ</t>
    </rPh>
    <rPh sb="19" eb="20">
      <t>ホド</t>
    </rPh>
    <rPh sb="21" eb="24">
      <t>コウセイノウ</t>
    </rPh>
    <phoneticPr fontId="1"/>
  </si>
  <si>
    <t>　　結果的に敵からの範囲攻撃対策としても優秀と言わざるを得ない。</t>
    <rPh sb="2" eb="5">
      <t>ケッカテキ</t>
    </rPh>
    <rPh sb="6" eb="7">
      <t>テキ</t>
    </rPh>
    <rPh sb="10" eb="12">
      <t>ハンイ</t>
    </rPh>
    <rPh sb="12" eb="14">
      <t>コウゲキ</t>
    </rPh>
    <rPh sb="14" eb="16">
      <t>タイサク</t>
    </rPh>
    <rPh sb="20" eb="22">
      <t>ユウシュウ</t>
    </rPh>
    <rPh sb="23" eb="24">
      <t>イ</t>
    </rPh>
    <rPh sb="28" eb="29">
      <t>エ</t>
    </rPh>
    <phoneticPr fontId="1"/>
  </si>
  <si>
    <t>　　イーライが崖の下へポイポイ味方を放り込む、レミングごっこが見られる日は近い？</t>
    <rPh sb="7" eb="8">
      <t>ガケ</t>
    </rPh>
    <rPh sb="9" eb="10">
      <t>シタ</t>
    </rPh>
    <rPh sb="15" eb="17">
      <t>ミカタ</t>
    </rPh>
    <rPh sb="18" eb="19">
      <t>ホウ</t>
    </rPh>
    <rPh sb="20" eb="21">
      <t>コ</t>
    </rPh>
    <rPh sb="31" eb="32">
      <t>ミ</t>
    </rPh>
    <rPh sb="35" eb="36">
      <t>ヒ</t>
    </rPh>
    <rPh sb="37" eb="38">
      <t>チカ</t>
    </rPh>
    <phoneticPr fontId="1"/>
  </si>
  <si>
    <t>④強制移動ではない</t>
    <phoneticPr fontId="1"/>
  </si>
  <si>
    <t>　　機会攻撃を誘発するデメリットを差し置いても、三次元移動が可能なメリットは本当に大きい。</t>
    <rPh sb="2" eb="6">
      <t>キカイ</t>
    </rPh>
    <rPh sb="7" eb="9">
      <t>ユウハツ</t>
    </rPh>
    <rPh sb="17" eb="18">
      <t>サ</t>
    </rPh>
    <rPh sb="19" eb="20">
      <t>オ</t>
    </rPh>
    <rPh sb="24" eb="27">
      <t>サンジゲン</t>
    </rPh>
    <rPh sb="27" eb="29">
      <t>イドウ</t>
    </rPh>
    <rPh sb="30" eb="32">
      <t>カノウ</t>
    </rPh>
    <rPh sb="38" eb="40">
      <t>ホントウ</t>
    </rPh>
    <rPh sb="41" eb="42">
      <t>オオ</t>
    </rPh>
    <phoneticPr fontId="1"/>
  </si>
  <si>
    <t>　　基本的に自らは極力、移動したくないイーライ様は移動アクションが余りがち。</t>
    <rPh sb="2" eb="5">
      <t>キホンテキ</t>
    </rPh>
    <rPh sb="6" eb="7">
      <t>ミズカ</t>
    </rPh>
    <rPh sb="12" eb="14">
      <t>イドウ</t>
    </rPh>
    <rPh sb="23" eb="24">
      <t>サマ</t>
    </rPh>
    <rPh sb="25" eb="27">
      <t>イドウ</t>
    </rPh>
    <rPh sb="33" eb="34">
      <t>アマ</t>
    </rPh>
    <phoneticPr fontId="1"/>
  </si>
  <si>
    <t>　　そんな余らせてしまった移動アクションを味方にプレゼントしてしまえる奇跡のパワー！</t>
    <rPh sb="5" eb="6">
      <t>アマ</t>
    </rPh>
    <rPh sb="13" eb="15">
      <t>イドウ</t>
    </rPh>
    <rPh sb="21" eb="23">
      <t>ミカタ</t>
    </rPh>
    <rPh sb="35" eb="37">
      <t>キセキ</t>
    </rPh>
    <phoneticPr fontId="1"/>
  </si>
  <si>
    <t>　　非常時にはスウィフト・エスケープ他、各種即応パワーでイーライ自身は逃げられる以上、</t>
    <rPh sb="2" eb="4">
      <t>ヒジョウ</t>
    </rPh>
    <rPh sb="4" eb="5">
      <t>ジ</t>
    </rPh>
    <rPh sb="18" eb="19">
      <t>ホカ</t>
    </rPh>
    <rPh sb="20" eb="22">
      <t>カクシュ</t>
    </rPh>
    <rPh sb="22" eb="24">
      <t>ソクオウ</t>
    </rPh>
    <rPh sb="32" eb="34">
      <t>ジシン</t>
    </rPh>
    <rPh sb="35" eb="36">
      <t>ニ</t>
    </rPh>
    <rPh sb="40" eb="42">
      <t>イジョウ</t>
    </rPh>
    <phoneticPr fontId="1"/>
  </si>
  <si>
    <t>　　範囲内から味方がいなくなるまで全ての移動アクションを味方を飛ばすのに費やすのもアリか？</t>
    <rPh sb="2" eb="4">
      <t>ハンイ</t>
    </rPh>
    <rPh sb="4" eb="5">
      <t>ナイ</t>
    </rPh>
    <rPh sb="7" eb="9">
      <t>ミカタ</t>
    </rPh>
    <rPh sb="17" eb="18">
      <t>スベ</t>
    </rPh>
    <rPh sb="20" eb="22">
      <t>イドウ</t>
    </rPh>
    <rPh sb="28" eb="30">
      <t>ミカタ</t>
    </rPh>
    <rPh sb="31" eb="32">
      <t>ト</t>
    </rPh>
    <rPh sb="36" eb="37">
      <t>ツイ</t>
    </rPh>
    <phoneticPr fontId="1"/>
  </si>
  <si>
    <t>　　将来的に（シフトや疾走を除いて）通常移動を全てコレで済ませる事になりかねない。</t>
    <rPh sb="2" eb="5">
      <t>ショウライテキ</t>
    </rPh>
    <rPh sb="11" eb="13">
      <t>シッソウ</t>
    </rPh>
    <rPh sb="14" eb="15">
      <t>ノゾ</t>
    </rPh>
    <rPh sb="18" eb="20">
      <t>ツウジョウ</t>
    </rPh>
    <rPh sb="20" eb="22">
      <t>イドウ</t>
    </rPh>
    <rPh sb="23" eb="24">
      <t>スベ</t>
    </rPh>
    <rPh sb="28" eb="29">
      <t>ス</t>
    </rPh>
    <rPh sb="32" eb="33">
      <t>コト</t>
    </rPh>
    <phoneticPr fontId="1"/>
  </si>
  <si>
    <t>　　自分が飛べるだけでも充分凄いが味方も飛び放題って、もう何が何だか・・・。</t>
    <rPh sb="2" eb="4">
      <t>ジブン</t>
    </rPh>
    <rPh sb="5" eb="6">
      <t>ト</t>
    </rPh>
    <rPh sb="12" eb="14">
      <t>ジュウブン</t>
    </rPh>
    <rPh sb="14" eb="15">
      <t>スゴ</t>
    </rPh>
    <rPh sb="17" eb="19">
      <t>ミカタ</t>
    </rPh>
    <rPh sb="20" eb="21">
      <t>ト</t>
    </rPh>
    <rPh sb="22" eb="24">
      <t>ホウダイ</t>
    </rPh>
    <rPh sb="29" eb="30">
      <t>ナニ</t>
    </rPh>
    <rPh sb="31" eb="32">
      <t>ナン</t>
    </rPh>
    <phoneticPr fontId="1"/>
  </si>
  <si>
    <t>　　特殊地形対策だけでなく、（味方の）減速対策にまでなっているのは本当に凄い。</t>
    <rPh sb="2" eb="4">
      <t>トクシュ</t>
    </rPh>
    <rPh sb="4" eb="6">
      <t>チケイ</t>
    </rPh>
    <rPh sb="6" eb="8">
      <t>タイサク</t>
    </rPh>
    <rPh sb="15" eb="17">
      <t>ミカタ</t>
    </rPh>
    <rPh sb="19" eb="21">
      <t>ゲンソク</t>
    </rPh>
    <rPh sb="21" eb="23">
      <t>タイサク</t>
    </rPh>
    <rPh sb="33" eb="35">
      <t>ホントウ</t>
    </rPh>
    <rPh sb="36" eb="37">
      <t>スゴ</t>
    </rPh>
    <phoneticPr fontId="1"/>
  </si>
  <si>
    <t>　　残念ながら機会攻撃は誘発するものの、重鎧系鈍足キャラにとって本当にありがたい。</t>
    <rPh sb="2" eb="4">
      <t>ザンネン</t>
    </rPh>
    <rPh sb="7" eb="9">
      <t>キカイ</t>
    </rPh>
    <rPh sb="9" eb="11">
      <t>コウゲキ</t>
    </rPh>
    <rPh sb="12" eb="14">
      <t>ユウハツ</t>
    </rPh>
    <rPh sb="20" eb="21">
      <t>オモ</t>
    </rPh>
    <rPh sb="21" eb="22">
      <t>ヨロイ</t>
    </rPh>
    <rPh sb="22" eb="23">
      <t>ケイ</t>
    </rPh>
    <rPh sb="23" eb="25">
      <t>ドンソク</t>
    </rPh>
    <rPh sb="32" eb="34">
      <t>ホントウ</t>
    </rPh>
    <phoneticPr fontId="1"/>
  </si>
  <si>
    <t>②無限回の移動可能距離固定値飛行パワー</t>
    <rPh sb="1" eb="3">
      <t>ムゲン</t>
    </rPh>
    <rPh sb="3" eb="4">
      <t>カイ</t>
    </rPh>
    <rPh sb="5" eb="7">
      <t>イドウ</t>
    </rPh>
    <rPh sb="7" eb="9">
      <t>カノウ</t>
    </rPh>
    <rPh sb="9" eb="11">
      <t>キョリ</t>
    </rPh>
    <rPh sb="11" eb="13">
      <t>コテイ</t>
    </rPh>
    <rPh sb="13" eb="14">
      <t>アタイ</t>
    </rPh>
    <rPh sb="14" eb="16">
      <t>ヒコウ</t>
    </rPh>
    <phoneticPr fontId="1"/>
  </si>
  <si>
    <t>　　パーティ内は軽業を持たない面子ばかりである以上、断崖対策としても超優秀となると最早・・・。</t>
    <rPh sb="6" eb="7">
      <t>ナイ</t>
    </rPh>
    <rPh sb="8" eb="10">
      <t>カルワザ</t>
    </rPh>
    <rPh sb="11" eb="12">
      <t>モ</t>
    </rPh>
    <rPh sb="15" eb="17">
      <t>メンツ</t>
    </rPh>
    <rPh sb="23" eb="25">
      <t>イジョウ</t>
    </rPh>
    <rPh sb="26" eb="28">
      <t>ダンガイ</t>
    </rPh>
    <rPh sb="28" eb="30">
      <t>タイサク</t>
    </rPh>
    <rPh sb="34" eb="35">
      <t>チョウ</t>
    </rPh>
    <rPh sb="35" eb="37">
      <t>ユウシュウ</t>
    </rPh>
    <rPh sb="41" eb="43">
      <t>モハヤ</t>
    </rPh>
    <phoneticPr fontId="1"/>
  </si>
  <si>
    <t>　　移動先に効果線が全く不要なので、かなり複雑な地形でもズンズン進める。</t>
    <rPh sb="2" eb="4">
      <t>イドウ</t>
    </rPh>
    <rPh sb="4" eb="5">
      <t>サキ</t>
    </rPh>
    <rPh sb="6" eb="8">
      <t>コウカ</t>
    </rPh>
    <rPh sb="8" eb="9">
      <t>セン</t>
    </rPh>
    <rPh sb="10" eb="11">
      <t>マッタ</t>
    </rPh>
    <rPh sb="12" eb="14">
      <t>フヨウ</t>
    </rPh>
    <rPh sb="21" eb="23">
      <t>フクザツ</t>
    </rPh>
    <rPh sb="24" eb="26">
      <t>チケイ</t>
    </rPh>
    <rPh sb="32" eb="33">
      <t>スス</t>
    </rPh>
    <phoneticPr fontId="1"/>
  </si>
  <si>
    <t>　　その上かなり移動距離が長いので、使い勝手の良さは本当に凄まじい。</t>
    <rPh sb="4" eb="5">
      <t>ウエ</t>
    </rPh>
    <rPh sb="8" eb="10">
      <t>イドウ</t>
    </rPh>
    <rPh sb="10" eb="12">
      <t>キョリ</t>
    </rPh>
    <rPh sb="13" eb="14">
      <t>ナガ</t>
    </rPh>
    <rPh sb="18" eb="19">
      <t>ツカ</t>
    </rPh>
    <rPh sb="20" eb="22">
      <t>カッテ</t>
    </rPh>
    <rPh sb="23" eb="24">
      <t>ヨ</t>
    </rPh>
    <rPh sb="26" eb="28">
      <t>ホントウ</t>
    </rPh>
    <rPh sb="29" eb="30">
      <t>スサ</t>
    </rPh>
    <phoneticPr fontId="1"/>
  </si>
  <si>
    <t>　　イーライのターンがやって来る度に、出遅れた前衛をガンガン前線に送り込める。</t>
    <rPh sb="14" eb="15">
      <t>ク</t>
    </rPh>
    <rPh sb="16" eb="17">
      <t>タビ</t>
    </rPh>
    <rPh sb="19" eb="21">
      <t>デオク</t>
    </rPh>
    <rPh sb="23" eb="25">
      <t>ゼンエイ</t>
    </rPh>
    <rPh sb="30" eb="32">
      <t>ゼンセン</t>
    </rPh>
    <rPh sb="33" eb="34">
      <t>オク</t>
    </rPh>
    <rPh sb="35" eb="36">
      <t>コ</t>
    </rPh>
    <phoneticPr fontId="1"/>
  </si>
  <si>
    <t>　　イーライ自身ならば遭遇毎瞬間移動パワーとの使い分けで移動面での死角はほぼ無い。</t>
    <rPh sb="6" eb="8">
      <t>ジシン</t>
    </rPh>
    <rPh sb="11" eb="13">
      <t>ソウグウ</t>
    </rPh>
    <rPh sb="13" eb="14">
      <t>マイ</t>
    </rPh>
    <rPh sb="14" eb="18">
      <t>シュンカン</t>
    </rPh>
    <rPh sb="23" eb="24">
      <t>ツカ</t>
    </rPh>
    <rPh sb="25" eb="26">
      <t>ワ</t>
    </rPh>
    <rPh sb="28" eb="30">
      <t>イドウ</t>
    </rPh>
    <rPh sb="30" eb="31">
      <t>メン</t>
    </rPh>
    <rPh sb="33" eb="35">
      <t>シカク</t>
    </rPh>
    <rPh sb="38" eb="39">
      <t>ナ</t>
    </rPh>
    <phoneticPr fontId="1"/>
  </si>
  <si>
    <t>③何故移動終了時の着地が義務でない！？</t>
    <rPh sb="1" eb="3">
      <t>ナゼ</t>
    </rPh>
    <rPh sb="3" eb="5">
      <t>イドウ</t>
    </rPh>
    <rPh sb="5" eb="8">
      <t>シュウリョウジ</t>
    </rPh>
    <rPh sb="9" eb="11">
      <t>チャクチ</t>
    </rPh>
    <rPh sb="12" eb="14">
      <t>ギム</t>
    </rPh>
    <phoneticPr fontId="1"/>
  </si>
  <si>
    <t>　　明記されていない以上、空中で飛行を終えてピューンと落下しても別に構わないという事になる。</t>
    <rPh sb="2" eb="4">
      <t>メイキ</t>
    </rPh>
    <rPh sb="10" eb="12">
      <t>イジョウ</t>
    </rPh>
    <rPh sb="13" eb="15">
      <t>クウチュウ</t>
    </rPh>
    <rPh sb="16" eb="18">
      <t>ヒコウ</t>
    </rPh>
    <rPh sb="19" eb="20">
      <t>オ</t>
    </rPh>
    <rPh sb="27" eb="29">
      <t>ラッカ</t>
    </rPh>
    <rPh sb="32" eb="33">
      <t>ベツ</t>
    </rPh>
    <rPh sb="34" eb="35">
      <t>カマ</t>
    </rPh>
    <rPh sb="41" eb="42">
      <t>コト</t>
    </rPh>
    <phoneticPr fontId="1"/>
  </si>
  <si>
    <t>　　となると高所から飛び降りる時の落下ダメージ軽減性能が異常に高い事に。</t>
    <rPh sb="6" eb="8">
      <t>コウショ</t>
    </rPh>
    <rPh sb="10" eb="11">
      <t>ト</t>
    </rPh>
    <rPh sb="12" eb="13">
      <t>オ</t>
    </rPh>
    <rPh sb="15" eb="16">
      <t>トキ</t>
    </rPh>
    <rPh sb="17" eb="19">
      <t>ラッカ</t>
    </rPh>
    <rPh sb="23" eb="25">
      <t>ケイゲン</t>
    </rPh>
    <rPh sb="25" eb="27">
      <t>セイノウ</t>
    </rPh>
    <rPh sb="28" eb="30">
      <t>イジョウ</t>
    </rPh>
    <rPh sb="31" eb="32">
      <t>タカ</t>
    </rPh>
    <rPh sb="33" eb="34">
      <t>コト</t>
    </rPh>
    <phoneticPr fontId="1"/>
  </si>
  <si>
    <t>　　道を完全に塞いでいる敵の上を飛び越えるのも（機会攻撃は受けるが）全然可能。</t>
    <rPh sb="2" eb="3">
      <t>ミチ</t>
    </rPh>
    <rPh sb="4" eb="6">
      <t>カンゼン</t>
    </rPh>
    <rPh sb="7" eb="8">
      <t>フサ</t>
    </rPh>
    <rPh sb="12" eb="13">
      <t>テキ</t>
    </rPh>
    <rPh sb="14" eb="15">
      <t>ウエ</t>
    </rPh>
    <rPh sb="16" eb="17">
      <t>ト</t>
    </rPh>
    <rPh sb="18" eb="19">
      <t>コ</t>
    </rPh>
    <rPh sb="24" eb="28">
      <t>キカイ</t>
    </rPh>
    <rPh sb="29" eb="30">
      <t>ウ</t>
    </rPh>
    <rPh sb="34" eb="36">
      <t>ゼンゼン</t>
    </rPh>
    <rPh sb="36" eb="38">
      <t>カノウ</t>
    </rPh>
    <phoneticPr fontId="1"/>
  </si>
  <si>
    <t>　　拘束はともかく掴みでも無効化されるのは結構痛い。</t>
    <rPh sb="2" eb="4">
      <t>コウソク</t>
    </rPh>
    <rPh sb="9" eb="10">
      <t>ツカ</t>
    </rPh>
    <rPh sb="13" eb="16">
      <t>ムコウカ</t>
    </rPh>
    <rPh sb="21" eb="23">
      <t>ケッコウ</t>
    </rPh>
    <rPh sb="23" eb="24">
      <t>イタ</t>
    </rPh>
    <phoneticPr fontId="1"/>
  </si>
  <si>
    <t>⑤味方を５マス以内にキープ</t>
    <rPh sb="1" eb="3">
      <t>ミカタ</t>
    </rPh>
    <rPh sb="7" eb="9">
      <t>イナイ</t>
    </rPh>
    <phoneticPr fontId="1"/>
  </si>
  <si>
    <t>　　いざという時には即応で逃げられる以上、</t>
    <rPh sb="7" eb="8">
      <t>トキ</t>
    </rPh>
    <rPh sb="10" eb="12">
      <t>ソクオウ</t>
    </rPh>
    <rPh sb="13" eb="14">
      <t>ニ</t>
    </rPh>
    <rPh sb="18" eb="20">
      <t>イジョウ</t>
    </rPh>
    <phoneticPr fontId="1"/>
  </si>
  <si>
    <t>　　その方がイーライのターン中にも味方のポジション調整が可能で融通が効きやすいハズ。</t>
    <rPh sb="4" eb="5">
      <t>ホウ</t>
    </rPh>
    <rPh sb="14" eb="15">
      <t>チュウ</t>
    </rPh>
    <rPh sb="17" eb="19">
      <t>ミカタ</t>
    </rPh>
    <rPh sb="25" eb="27">
      <t>チョウセイ</t>
    </rPh>
    <rPh sb="28" eb="30">
      <t>カノウ</t>
    </rPh>
    <rPh sb="31" eb="33">
      <t>ユウヅウ</t>
    </rPh>
    <rPh sb="34" eb="35">
      <t>キ</t>
    </rPh>
    <phoneticPr fontId="1"/>
  </si>
  <si>
    <t>　　幻惑中の味方のフォローとしても有効だが、気絶中や朦朧中だとどうしようもない点も同様。</t>
    <rPh sb="4" eb="5">
      <t>チュウ</t>
    </rPh>
    <rPh sb="6" eb="8">
      <t>ミカタ</t>
    </rPh>
    <rPh sb="17" eb="19">
      <t>ユウコウ</t>
    </rPh>
    <rPh sb="22" eb="24">
      <t>キゼツ</t>
    </rPh>
    <rPh sb="24" eb="25">
      <t>チュウ</t>
    </rPh>
    <rPh sb="26" eb="28">
      <t>モウロウ</t>
    </rPh>
    <rPh sb="28" eb="29">
      <t>チュウ</t>
    </rPh>
    <rPh sb="39" eb="40">
      <t>テン</t>
    </rPh>
    <rPh sb="41" eb="43">
      <t>ドウヨウ</t>
    </rPh>
    <phoneticPr fontId="1"/>
  </si>
  <si>
    <t>　　遭遇毎の即応が残っている間は味方から必要以上に離れ過ぎない方が良い。</t>
    <rPh sb="2" eb="4">
      <t>ソウグウ</t>
    </rPh>
    <rPh sb="4" eb="5">
      <t>マイ</t>
    </rPh>
    <rPh sb="6" eb="8">
      <t>ソクオウ</t>
    </rPh>
    <rPh sb="9" eb="10">
      <t>ノコ</t>
    </rPh>
    <rPh sb="14" eb="15">
      <t>アイダ</t>
    </rPh>
    <rPh sb="16" eb="18">
      <t>ミカタ</t>
    </rPh>
    <rPh sb="20" eb="22">
      <t>ヒツヨウ</t>
    </rPh>
    <rPh sb="22" eb="24">
      <t>イジョウ</t>
    </rPh>
    <rPh sb="25" eb="26">
      <t>ハナ</t>
    </rPh>
    <rPh sb="27" eb="28">
      <t>ス</t>
    </rPh>
    <rPh sb="31" eb="32">
      <t>ホウ</t>
    </rPh>
    <rPh sb="33" eb="34">
      <t>ヨ</t>
    </rPh>
    <phoneticPr fontId="1"/>
  </si>
  <si>
    <t>　　ただし伏せや不動に対して非常に弱い点では、思ったよりも強制移動に劣る。</t>
    <rPh sb="5" eb="6">
      <t>フ</t>
    </rPh>
    <rPh sb="8" eb="10">
      <t>フドウ</t>
    </rPh>
    <rPh sb="11" eb="12">
      <t>タイ</t>
    </rPh>
    <rPh sb="14" eb="16">
      <t>ヒジョウ</t>
    </rPh>
    <rPh sb="17" eb="18">
      <t>ヨワ</t>
    </rPh>
    <rPh sb="19" eb="20">
      <t>テン</t>
    </rPh>
    <rPh sb="23" eb="24">
      <t>オモ</t>
    </rPh>
    <rPh sb="29" eb="31">
      <t>キョウセイ</t>
    </rPh>
    <rPh sb="31" eb="33">
      <t>イドウ</t>
    </rPh>
    <rPh sb="34" eb="35">
      <t>オト</t>
    </rPh>
    <phoneticPr fontId="1"/>
  </si>
  <si>
    <t>スタッフ・オヴ・ストームズ+4 Lv20　＆　インサイシヴ・ダガー＋3 Lv14</t>
    <phoneticPr fontId="1"/>
  </si>
  <si>
    <t>※上級装具：移動強制(PHⅢ196)</t>
    <phoneticPr fontId="1"/>
  </si>
  <si>
    <t>※スタッフ・オヴ・ストームズ＋４ Ｌｖ20(PH241)</t>
  </si>
  <si>
    <t>※スタッフ・オヴ・ストームズ＋４ Ｌｖ20(PH241)</t>
    <phoneticPr fontId="1"/>
  </si>
  <si>
    <r>
      <t>[無限回]◆[酸]［装具］［秘術］［</t>
    </r>
    <r>
      <rPr>
        <b/>
        <sz val="11"/>
        <color rgb="FFFF0000"/>
        <rFont val="ＭＳ Ｐゴシック"/>
        <family val="3"/>
        <charset val="128"/>
        <scheme val="minor"/>
      </rPr>
      <t>雷鳴</t>
    </r>
    <r>
      <rPr>
        <sz val="11"/>
        <color theme="1"/>
        <rFont val="ＭＳ Ｐゴシック"/>
        <family val="2"/>
        <charset val="128"/>
        <scheme val="minor"/>
      </rPr>
      <t>］</t>
    </r>
    <rPh sb="1" eb="3">
      <t>ムゲン</t>
    </rPh>
    <rPh sb="3" eb="4">
      <t>カイ</t>
    </rPh>
    <rPh sb="7" eb="8">
      <t>サン</t>
    </rPh>
    <rPh sb="14" eb="16">
      <t>ヒジュツ</t>
    </rPh>
    <rPh sb="18" eb="20">
      <t>ライメイ</t>
    </rPh>
    <phoneticPr fontId="1"/>
  </si>
  <si>
    <t>ドラゴン・フロスト</t>
    <phoneticPr fontId="1"/>
  </si>
  <si>
    <t>ドラゴン・フロスト　通常版</t>
    <rPh sb="10" eb="12">
      <t>ツウジョウ</t>
    </rPh>
    <rPh sb="12" eb="13">
      <t>バン</t>
    </rPh>
    <phoneticPr fontId="1"/>
  </si>
  <si>
    <r>
      <t>　　パワー([一日毎]◆[電撃][雷鳴])：フリーアクション。　[電撃]または[</t>
    </r>
    <r>
      <rPr>
        <b/>
        <sz val="11"/>
        <color rgb="FFFF0000"/>
        <rFont val="ＭＳ Ｐゴシック"/>
        <family val="3"/>
        <charset val="128"/>
        <scheme val="minor"/>
      </rPr>
      <t>雷鳴</t>
    </r>
    <r>
      <rPr>
        <sz val="11"/>
        <color theme="1"/>
        <rFont val="ＭＳ Ｐゴシック"/>
        <family val="3"/>
        <charset val="128"/>
        <scheme val="minor"/>
      </rPr>
      <t>]パワー使用時に使用する。</t>
    </r>
    <rPh sb="46" eb="49">
      <t>シヨウジ</t>
    </rPh>
    <rPh sb="50" eb="52">
      <t>シヨウ</t>
    </rPh>
    <phoneticPr fontId="1"/>
  </si>
  <si>
    <r>
      <t>　　　そのパワーの解決後、近接範囲・</t>
    </r>
    <r>
      <rPr>
        <b/>
        <sz val="11"/>
        <color rgb="FFFF0000"/>
        <rFont val="ＭＳ Ｐゴシック"/>
        <family val="3"/>
        <charset val="128"/>
        <scheme val="minor"/>
      </rPr>
      <t>噴射3or4</t>
    </r>
    <r>
      <rPr>
        <sz val="11"/>
        <color theme="1"/>
        <rFont val="ＭＳ Ｐゴシック"/>
        <family val="2"/>
        <charset val="128"/>
        <scheme val="minor"/>
      </rPr>
      <t>の範囲内にいるすべてのクリーチャーに対して</t>
    </r>
    <phoneticPr fontId="1"/>
  </si>
  <si>
    <r>
      <t>　　　</t>
    </r>
    <r>
      <rPr>
        <b/>
        <sz val="11"/>
        <color rgb="FFFF0000"/>
        <rFont val="ＭＳ Ｐゴシック"/>
        <family val="3"/>
        <charset val="128"/>
        <scheme val="minor"/>
      </rPr>
      <t>2d8の[電撃]及び[雷鳴]ダメージ</t>
    </r>
    <r>
      <rPr>
        <sz val="11"/>
        <color theme="1"/>
        <rFont val="ＭＳ Ｐゴシック"/>
        <family val="2"/>
        <charset val="128"/>
        <scheme val="minor"/>
      </rPr>
      <t>を与える</t>
    </r>
    <phoneticPr fontId="1"/>
  </si>
  <si>
    <r>
      <t>　　特性：[</t>
    </r>
    <r>
      <rPr>
        <b/>
        <sz val="11"/>
        <color rgb="FFFF0000"/>
        <rFont val="ＭＳ Ｐゴシック"/>
        <family val="3"/>
        <charset val="128"/>
        <scheme val="minor"/>
      </rPr>
      <t>瞬間移動</t>
    </r>
    <r>
      <rPr>
        <sz val="11"/>
        <color theme="1"/>
        <rFont val="ＭＳ Ｐゴシック"/>
        <family val="3"/>
        <charset val="128"/>
        <scheme val="minor"/>
      </rPr>
      <t>]パワーを使用する際、瞬間移動可能な距離が強化Ｂに等しいマスだけ</t>
    </r>
    <r>
      <rPr>
        <b/>
        <sz val="11"/>
        <color rgb="FFFF0000"/>
        <rFont val="ＭＳ Ｐゴシック"/>
        <family val="3"/>
        <charset val="128"/>
        <scheme val="minor"/>
      </rPr>
      <t>増加</t>
    </r>
    <r>
      <rPr>
        <sz val="11"/>
        <color theme="1"/>
        <rFont val="ＭＳ Ｐゴシック"/>
        <family val="3"/>
        <charset val="128"/>
        <scheme val="minor"/>
      </rPr>
      <t>する。</t>
    </r>
    <rPh sb="2" eb="4">
      <t>トクセイ</t>
    </rPh>
    <rPh sb="6" eb="8">
      <t>シュンカン</t>
    </rPh>
    <rPh sb="8" eb="10">
      <t>イドウ</t>
    </rPh>
    <rPh sb="15" eb="17">
      <t>シヨウ</t>
    </rPh>
    <rPh sb="19" eb="20">
      <t>サイ</t>
    </rPh>
    <rPh sb="21" eb="23">
      <t>シュンカン</t>
    </rPh>
    <rPh sb="23" eb="25">
      <t>イドウ</t>
    </rPh>
    <rPh sb="25" eb="27">
      <t>カノウ</t>
    </rPh>
    <rPh sb="28" eb="30">
      <t>キョリ</t>
    </rPh>
    <phoneticPr fontId="1"/>
  </si>
  <si>
    <t>※スタッフ・オヴ・ストームズ＋４ Ｌｖ20(PH241)</t>
    <phoneticPr fontId="1"/>
  </si>
  <si>
    <t>クリティカル</t>
    <phoneticPr fontId="1"/>
  </si>
  <si>
    <t>雷鳴
&amp; 酸</t>
    <rPh sb="0" eb="2">
      <t>ライメイ</t>
    </rPh>
    <rPh sb="5" eb="6">
      <t>サン</t>
    </rPh>
    <phoneticPr fontId="1"/>
  </si>
  <si>
    <t>雷鳴
 or　 電撃</t>
    <rPh sb="0" eb="2">
      <t>ライメイ</t>
    </rPh>
    <rPh sb="8" eb="10">
      <t>デンゲキ</t>
    </rPh>
    <phoneticPr fontId="1"/>
  </si>
  <si>
    <t>クリティカル</t>
    <phoneticPr fontId="1"/>
  </si>
  <si>
    <t>or電撃</t>
    <rPh sb="2" eb="4">
      <t>デンゲキ</t>
    </rPh>
    <phoneticPr fontId="1"/>
  </si>
  <si>
    <t>雷鳴
　※　電撃</t>
    <rPh sb="0" eb="2">
      <t>ライメイ</t>
    </rPh>
    <rPh sb="6" eb="8">
      <t>デンゲキ</t>
    </rPh>
    <phoneticPr fontId="1"/>
  </si>
  <si>
    <t>スタッフ・オヴ・ストームズの一日毎のトリガーも引けるので、思った以上に融通が効く。</t>
    <rPh sb="14" eb="16">
      <t>イチニチ</t>
    </rPh>
    <rPh sb="16" eb="17">
      <t>マイ</t>
    </rPh>
    <rPh sb="23" eb="24">
      <t>ヒ</t>
    </rPh>
    <rPh sb="29" eb="30">
      <t>オモ</t>
    </rPh>
    <rPh sb="32" eb="34">
      <t>イジョウ</t>
    </rPh>
    <rPh sb="35" eb="37">
      <t>ユウヅウ</t>
    </rPh>
    <rPh sb="38" eb="39">
      <t>キ</t>
    </rPh>
    <phoneticPr fontId="1"/>
  </si>
  <si>
    <t>ソーサラー/攻撃/１７　(PHⅡ110)</t>
    <rPh sb="6" eb="8">
      <t>コウゲキ</t>
    </rPh>
    <phoneticPr fontId="1"/>
  </si>
  <si>
    <t>[遭遇毎]◆[瞬間移動]［装具］［秘術］[雷鳴]</t>
    <rPh sb="1" eb="3">
      <t>ソウグウ</t>
    </rPh>
    <rPh sb="3" eb="4">
      <t>マイ</t>
    </rPh>
    <rPh sb="17" eb="19">
      <t>ヒジュツ</t>
    </rPh>
    <rPh sb="21" eb="23">
      <t>ライメイ</t>
    </rPh>
    <phoneticPr fontId="1"/>
  </si>
  <si>
    <t>サンダー・サモンズ</t>
    <phoneticPr fontId="1"/>
  </si>
  <si>
    <t>クリーチャー１体、２体、または３体</t>
    <rPh sb="7" eb="8">
      <t>タイ</t>
    </rPh>
    <rPh sb="10" eb="11">
      <t>タイ</t>
    </rPh>
    <rPh sb="16" eb="17">
      <t>タイ</t>
    </rPh>
    <phoneticPr fontId="1"/>
  </si>
  <si>
    <t>(３ｄ８＋【魅】)の[雷鳴]ダメージ、</t>
    <rPh sb="11" eb="13">
      <t>ライメイ</t>
    </rPh>
    <phoneticPr fontId="1"/>
  </si>
  <si>
    <r>
      <t>さらに使用者は目標を、</t>
    </r>
    <r>
      <rPr>
        <b/>
        <sz val="11"/>
        <color rgb="FFFF0000"/>
        <rFont val="ＭＳ Ｐゴシック"/>
        <family val="3"/>
        <charset val="128"/>
      </rPr>
      <t>目標から一番近い敵に隣接したマス</t>
    </r>
    <r>
      <rPr>
        <sz val="11"/>
        <rFont val="ＭＳ Ｐゴシック"/>
        <family val="3"/>
        <charset val="128"/>
      </rPr>
      <t>へと瞬間移動させる。</t>
    </r>
    <phoneticPr fontId="1"/>
  </si>
  <si>
    <t>　　　　　　　　　目標を目標から一番近い敵に隣接したマスではなく、</t>
    <phoneticPr fontId="1"/>
  </si>
  <si>
    <t>　　　　　　　　　目標は次の自分のT開始時に[火]および[冷気]ダメージ５ではなく、</t>
    <rPh sb="9" eb="11">
      <t>モクヒョウ</t>
    </rPh>
    <rPh sb="12" eb="13">
      <t>ツギ</t>
    </rPh>
    <rPh sb="14" eb="16">
      <t>ジブン</t>
    </rPh>
    <rPh sb="18" eb="20">
      <t>カイシ</t>
    </rPh>
    <rPh sb="20" eb="21">
      <t>ジ</t>
    </rPh>
    <phoneticPr fontId="1"/>
  </si>
  <si>
    <r>
      <t>　</t>
    </r>
    <r>
      <rPr>
        <b/>
        <sz val="11"/>
        <color rgb="FFFF0000"/>
        <rFont val="ＭＳ Ｐゴシック"/>
        <family val="3"/>
        <charset val="128"/>
        <scheme val="minor"/>
      </rPr>
      <t>　　　　　　　</t>
    </r>
    <r>
      <rPr>
        <b/>
        <sz val="11"/>
        <color rgb="FF0070C0"/>
        <rFont val="ＭＳ Ｐゴシック"/>
        <family val="3"/>
        <charset val="128"/>
        <scheme val="minor"/>
      </rPr>
      <t>[火]および[冷気]</t>
    </r>
    <r>
      <rPr>
        <b/>
        <sz val="11"/>
        <color rgb="FFFF0000"/>
        <rFont val="ＭＳ Ｐゴシック"/>
        <family val="3"/>
        <charset val="128"/>
        <scheme val="minor"/>
      </rPr>
      <t>ダメージ１０</t>
    </r>
    <r>
      <rPr>
        <sz val="11"/>
        <color theme="1"/>
        <rFont val="ＭＳ Ｐゴシック"/>
        <family val="3"/>
        <charset val="128"/>
        <scheme val="minor"/>
      </rPr>
      <t>を受ける。</t>
    </r>
    <phoneticPr fontId="1"/>
  </si>
  <si>
    <r>
      <t>　　　　　　　　　使用者が攻撃Rで</t>
    </r>
    <r>
      <rPr>
        <b/>
        <sz val="11"/>
        <color rgb="FFFF0000"/>
        <rFont val="ＭＳ Ｐゴシック"/>
        <family val="3"/>
        <charset val="128"/>
        <scheme val="minor"/>
      </rPr>
      <t>奇数</t>
    </r>
    <r>
      <rPr>
        <sz val="11"/>
        <color theme="1"/>
        <rFont val="ＭＳ Ｐゴシック"/>
        <family val="3"/>
        <charset val="128"/>
        <scheme val="minor"/>
      </rPr>
      <t>をロールしたなら、</t>
    </r>
    <rPh sb="17" eb="19">
      <t>キスウ</t>
    </rPh>
    <phoneticPr fontId="1"/>
  </si>
  <si>
    <r>
      <t>　　　　　　　　　目標は</t>
    </r>
    <r>
      <rPr>
        <b/>
        <sz val="11"/>
        <color rgb="FFFF0000"/>
        <rFont val="ＭＳ Ｐゴシック"/>
        <family val="3"/>
        <charset val="128"/>
        <scheme val="minor"/>
      </rPr>
      <t>通常の効果に加えて次の自分のT終まで”減速状態”</t>
    </r>
    <r>
      <rPr>
        <sz val="11"/>
        <color theme="1"/>
        <rFont val="ＭＳ Ｐゴシック"/>
        <family val="3"/>
        <charset val="128"/>
        <scheme val="minor"/>
      </rPr>
      <t>となる。</t>
    </r>
    <rPh sb="9" eb="11">
      <t>モクヒョウ</t>
    </rPh>
    <rPh sb="12" eb="14">
      <t>ツウジョウ</t>
    </rPh>
    <rPh sb="15" eb="17">
      <t>コウカ</t>
    </rPh>
    <rPh sb="18" eb="19">
      <t>クワ</t>
    </rPh>
    <rPh sb="21" eb="22">
      <t>ツギ</t>
    </rPh>
    <rPh sb="23" eb="25">
      <t>ジブン</t>
    </rPh>
    <rPh sb="27" eb="28">
      <t>シュウ</t>
    </rPh>
    <rPh sb="31" eb="33">
      <t>ゲンソク</t>
    </rPh>
    <rPh sb="33" eb="35">
      <t>ジョウタイ</t>
    </rPh>
    <phoneticPr fontId="1"/>
  </si>
  <si>
    <r>
      <t>②手順が非常に大事なので、ヒット効果まで含めて</t>
    </r>
    <r>
      <rPr>
        <b/>
        <sz val="11"/>
        <color rgb="FFFF0000"/>
        <rFont val="ＭＳ Ｐゴシック"/>
        <family val="3"/>
        <charset val="128"/>
        <scheme val="minor"/>
      </rPr>
      <t>１体ずつ順番に攻撃の全ての処理を行うべき</t>
    </r>
    <rPh sb="1" eb="3">
      <t>テジュン</t>
    </rPh>
    <rPh sb="4" eb="6">
      <t>ヒジョウ</t>
    </rPh>
    <rPh sb="7" eb="9">
      <t>ダイジ</t>
    </rPh>
    <rPh sb="16" eb="18">
      <t>コウカ</t>
    </rPh>
    <rPh sb="20" eb="21">
      <t>フク</t>
    </rPh>
    <rPh sb="24" eb="25">
      <t>タイ</t>
    </rPh>
    <rPh sb="27" eb="29">
      <t>ジュンバン</t>
    </rPh>
    <rPh sb="30" eb="32">
      <t>コウゲキ</t>
    </rPh>
    <rPh sb="33" eb="34">
      <t>スベ</t>
    </rPh>
    <rPh sb="36" eb="38">
      <t>ショリ</t>
    </rPh>
    <rPh sb="39" eb="40">
      <t>オコナ</t>
    </rPh>
    <phoneticPr fontId="1"/>
  </si>
  <si>
    <t>①まず攻撃ロールの前に３体までの目標を選んで全て確定させる</t>
    <rPh sb="3" eb="5">
      <t>コウゲキ</t>
    </rPh>
    <rPh sb="9" eb="10">
      <t>マエ</t>
    </rPh>
    <rPh sb="12" eb="13">
      <t>タイ</t>
    </rPh>
    <rPh sb="16" eb="18">
      <t>モクヒョウ</t>
    </rPh>
    <rPh sb="19" eb="20">
      <t>エラ</t>
    </rPh>
    <rPh sb="22" eb="23">
      <t>スベ</t>
    </rPh>
    <rPh sb="24" eb="26">
      <t>カクテイ</t>
    </rPh>
    <phoneticPr fontId="1"/>
  </si>
  <si>
    <t>④手順が本当に大事なので、どの敵から処理するのが効果的か（確実性重視？）要検討</t>
    <rPh sb="1" eb="3">
      <t>テジュン</t>
    </rPh>
    <rPh sb="4" eb="6">
      <t>ホントウ</t>
    </rPh>
    <rPh sb="7" eb="9">
      <t>ダイジ</t>
    </rPh>
    <rPh sb="15" eb="16">
      <t>テキ</t>
    </rPh>
    <rPh sb="18" eb="20">
      <t>ショリ</t>
    </rPh>
    <rPh sb="24" eb="26">
      <t>コウカ</t>
    </rPh>
    <rPh sb="26" eb="27">
      <t>テキ</t>
    </rPh>
    <rPh sb="29" eb="32">
      <t>カクジツセイ</t>
    </rPh>
    <rPh sb="32" eb="34">
      <t>ジュウシ</t>
    </rPh>
    <rPh sb="36" eb="37">
      <t>ヨウ</t>
    </rPh>
    <rPh sb="37" eb="39">
      <t>ケントウ</t>
    </rPh>
    <phoneticPr fontId="1"/>
  </si>
  <si>
    <r>
      <t>　　　　　　　　　</t>
    </r>
    <r>
      <rPr>
        <b/>
        <sz val="11"/>
        <color rgb="FFFF0000"/>
        <rFont val="ＭＳ Ｐゴシック"/>
        <family val="3"/>
        <charset val="128"/>
        <scheme val="minor"/>
      </rPr>
      <t>目標から一番近い使用者の味方1体に隣接しているマス</t>
    </r>
    <r>
      <rPr>
        <sz val="11"/>
        <color theme="1"/>
        <rFont val="ＭＳ Ｐゴシック"/>
        <family val="3"/>
        <charset val="128"/>
        <scheme val="minor"/>
      </rPr>
      <t>へと</t>
    </r>
    <phoneticPr fontId="1"/>
  </si>
  <si>
    <t>　　　　　　　　　瞬間移動させることができる。</t>
    <phoneticPr fontId="1"/>
  </si>
  <si>
    <t>③範囲攻撃用に複数の敵を１箇所に固めるのが主な用途だが、最大効率を求めると手順が難解</t>
    <rPh sb="1" eb="3">
      <t>ハンイ</t>
    </rPh>
    <rPh sb="3" eb="6">
      <t>コウゲキヨウ</t>
    </rPh>
    <rPh sb="7" eb="9">
      <t>フクスウ</t>
    </rPh>
    <rPh sb="10" eb="11">
      <t>テキ</t>
    </rPh>
    <rPh sb="13" eb="15">
      <t>カショ</t>
    </rPh>
    <rPh sb="16" eb="17">
      <t>カタ</t>
    </rPh>
    <rPh sb="21" eb="22">
      <t>オモ</t>
    </rPh>
    <rPh sb="23" eb="25">
      <t>ヨウト</t>
    </rPh>
    <rPh sb="28" eb="30">
      <t>サイダイ</t>
    </rPh>
    <rPh sb="30" eb="32">
      <t>コウリツ</t>
    </rPh>
    <rPh sb="33" eb="34">
      <t>モト</t>
    </rPh>
    <rPh sb="37" eb="39">
      <t>テジュン</t>
    </rPh>
    <rPh sb="40" eb="42">
      <t>ナンカイ</t>
    </rPh>
    <phoneticPr fontId="1"/>
  </si>
  <si>
    <t>⑤主目的を考慮すると、偶数の目が出ても味方に隣接させる機会は意外と少ないのか？</t>
    <rPh sb="1" eb="4">
      <t>シュモクテキ</t>
    </rPh>
    <rPh sb="5" eb="7">
      <t>コウリョ</t>
    </rPh>
    <rPh sb="11" eb="13">
      <t>グウスウ</t>
    </rPh>
    <rPh sb="14" eb="15">
      <t>メ</t>
    </rPh>
    <rPh sb="16" eb="17">
      <t>デ</t>
    </rPh>
    <rPh sb="19" eb="21">
      <t>ミカタ</t>
    </rPh>
    <rPh sb="22" eb="24">
      <t>リンセツ</t>
    </rPh>
    <rPh sb="27" eb="29">
      <t>キカイ</t>
    </rPh>
    <rPh sb="30" eb="32">
      <t>イガイ</t>
    </rPh>
    <rPh sb="33" eb="34">
      <t>スク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</si>
</sst>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7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14"/>
      <color rgb="FFFF0000"/>
      <name val="HGP創英角ﾎﾟｯﾌﾟ体"/>
      <family val="3"/>
      <charset val="128"/>
    </font>
    <font>
      <b/>
      <sz val="11"/>
      <color rgb="FF006699"/>
      <name val="ＭＳ Ｐゴシック"/>
      <family val="3"/>
      <charset val="128"/>
      <scheme val="minor"/>
    </font>
    <font>
      <b/>
      <sz val="14"/>
      <color rgb="FF00B0F0"/>
      <name val="ＭＳ Ｐゴシック"/>
      <family val="3"/>
      <charset val="128"/>
      <scheme val="minor"/>
    </font>
    <font>
      <b/>
      <sz val="18"/>
      <color rgb="FF00B0F0"/>
      <name val="ＭＳ Ｐゴシック"/>
      <family val="3"/>
      <charset val="128"/>
      <scheme val="minor"/>
    </font>
    <font>
      <b/>
      <sz val="20"/>
      <color rgb="FFFF0000"/>
      <name val="HGP教科書体"/>
      <family val="1"/>
      <charset val="128"/>
    </font>
    <font>
      <sz val="6"/>
      <name val="ＭＳ Ｐゴシック"/>
      <family val="3"/>
      <charset val="128"/>
    </font>
    <font>
      <b/>
      <sz val="11"/>
      <color indexed="8"/>
      <name val="ＭＳ Ｐゴシック"/>
      <family val="3"/>
      <charset val="128"/>
    </font>
    <font>
      <b/>
      <sz val="11"/>
      <color indexed="10"/>
      <name val="ＭＳ Ｐゴシック"/>
      <family val="3"/>
      <charset val="128"/>
    </font>
    <font>
      <b/>
      <sz val="12"/>
      <color indexed="10"/>
      <name val="ＭＳ Ｐゴシック"/>
      <family val="3"/>
      <charset val="128"/>
    </font>
    <font>
      <sz val="11"/>
      <name val="ＭＳ Ｐゴシック"/>
      <family val="3"/>
      <charset val="128"/>
    </font>
    <font>
      <b/>
      <sz val="11"/>
      <color theme="1"/>
      <name val="ＭＳ Ｐゴシック"/>
      <family val="3"/>
      <charset val="128"/>
    </font>
    <font>
      <b/>
      <sz val="11"/>
      <color rgb="FFFF0000"/>
      <name val="ＭＳ Ｐゴシック"/>
      <family val="3"/>
      <charset val="128"/>
    </font>
    <font>
      <b/>
      <sz val="18"/>
      <color rgb="FFFF0000"/>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color theme="1"/>
      <name val="ＭＳ Ｐゴシック"/>
      <family val="2"/>
      <charset val="128"/>
      <scheme val="minor"/>
    </font>
    <font>
      <b/>
      <sz val="11"/>
      <color rgb="FF0070C0"/>
      <name val="ＭＳ Ｐゴシック"/>
      <family val="3"/>
      <charset val="128"/>
      <scheme val="minor"/>
    </font>
    <font>
      <sz val="9"/>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9"/>
      <color theme="1"/>
      <name val="ＭＳ Ｐゴシック"/>
      <family val="3"/>
      <charset val="128"/>
      <scheme val="minor"/>
    </font>
    <font>
      <b/>
      <sz val="12"/>
      <name val="ＭＳ Ｐゴシック"/>
      <family val="3"/>
      <charset val="128"/>
      <scheme val="minor"/>
    </font>
    <font>
      <b/>
      <sz val="12"/>
      <color theme="0"/>
      <name val="ＭＳ Ｐゴシック"/>
      <family val="3"/>
      <charset val="128"/>
      <scheme val="minor"/>
    </font>
    <font>
      <b/>
      <sz val="11"/>
      <color theme="4" tint="-0.249977111117893"/>
      <name val="ＭＳ Ｐゴシック"/>
      <family val="3"/>
      <charset val="128"/>
      <scheme val="minor"/>
    </font>
    <font>
      <b/>
      <sz val="20"/>
      <color rgb="FFFF0000"/>
      <name val="ＭＳ Ｐゴシック"/>
      <family val="3"/>
      <charset val="128"/>
      <scheme val="minor"/>
    </font>
    <font>
      <b/>
      <sz val="24"/>
      <color rgb="FFFF0000"/>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b/>
      <sz val="20"/>
      <name val="ＭＳ Ｐゴシック"/>
      <family val="3"/>
      <charset val="128"/>
      <scheme val="minor"/>
    </font>
    <font>
      <b/>
      <sz val="18"/>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2"/>
      <charset val="128"/>
      <scheme val="minor"/>
    </font>
    <font>
      <b/>
      <sz val="16"/>
      <color rgb="FFFF0000"/>
      <name val="ＭＳ Ｐゴシック"/>
      <family val="3"/>
      <charset val="128"/>
      <scheme val="minor"/>
    </font>
    <font>
      <sz val="18"/>
      <color rgb="FFFF0000"/>
      <name val="ＭＳ Ｐゴシック"/>
      <family val="2"/>
      <charset val="128"/>
      <scheme val="minor"/>
    </font>
    <font>
      <sz val="16"/>
      <color theme="1"/>
      <name val="ＭＳ Ｐゴシック"/>
      <family val="2"/>
      <charset val="128"/>
      <scheme val="minor"/>
    </font>
    <font>
      <sz val="16"/>
      <color rgb="FFFF0000"/>
      <name val="ＭＳ Ｐゴシック"/>
      <family val="3"/>
      <charset val="128"/>
      <scheme val="minor"/>
    </font>
    <font>
      <sz val="11"/>
      <color theme="0"/>
      <name val="ＭＳ Ｐゴシック"/>
      <family val="2"/>
      <charset val="128"/>
      <scheme val="minor"/>
    </font>
    <font>
      <b/>
      <sz val="14"/>
      <name val="ＭＳ Ｐゴシック"/>
      <family val="3"/>
      <charset val="128"/>
      <scheme val="minor"/>
    </font>
    <font>
      <b/>
      <sz val="11"/>
      <color rgb="FF0070C0"/>
      <name val="ＭＳ Ｐゴシック"/>
      <family val="3"/>
      <charset val="128"/>
    </font>
    <font>
      <sz val="16"/>
      <color theme="0"/>
      <name val="ＭＳ Ｐゴシック"/>
      <family val="2"/>
      <charset val="128"/>
      <scheme val="minor"/>
    </font>
    <font>
      <sz val="16"/>
      <color theme="0"/>
      <name val="ＭＳ Ｐゴシック"/>
      <family val="3"/>
      <charset val="128"/>
      <scheme val="minor"/>
    </font>
    <font>
      <b/>
      <sz val="14"/>
      <color rgb="FFFF0000"/>
      <name val="HGP創英ﾌﾟﾚｾﾞﾝｽEB"/>
      <family val="1"/>
      <charset val="128"/>
    </font>
    <font>
      <b/>
      <sz val="18"/>
      <color rgb="FFFF0000"/>
      <name val="HGP教科書体"/>
      <family val="1"/>
      <charset val="128"/>
    </font>
    <font>
      <sz val="10"/>
      <color rgb="FFFF0000"/>
      <name val="ＭＳ Ｐゴシック"/>
      <family val="2"/>
      <charset val="128"/>
      <scheme val="minor"/>
    </font>
    <font>
      <sz val="10"/>
      <color theme="0"/>
      <name val="ＭＳ Ｐゴシック"/>
      <family val="2"/>
      <charset val="128"/>
      <scheme val="minor"/>
    </font>
    <font>
      <sz val="10"/>
      <color theme="0"/>
      <name val="ＭＳ Ｐゴシック"/>
      <family val="3"/>
      <charset val="128"/>
      <scheme val="minor"/>
    </font>
  </fonts>
  <fills count="26">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rgb="FFFF0000"/>
        <bgColor indexed="64"/>
      </patternFill>
    </fill>
    <fill>
      <patternFill patternType="solid">
        <fgColor rgb="FF0070C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hair">
        <color indexed="64"/>
      </left>
      <right/>
      <top/>
      <bottom style="hair">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style="medium">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bottom style="hair">
        <color auto="1"/>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right/>
      <top style="hair">
        <color auto="1"/>
      </top>
      <bottom style="thin">
        <color indexed="64"/>
      </bottom>
      <diagonal/>
    </border>
    <border>
      <left style="thin">
        <color indexed="64"/>
      </left>
      <right/>
      <top style="hair">
        <color auto="1"/>
      </top>
      <bottom style="thin">
        <color indexed="64"/>
      </bottom>
      <diagonal/>
    </border>
    <border>
      <left/>
      <right style="thin">
        <color indexed="64"/>
      </right>
      <top/>
      <bottom style="hair">
        <color auto="1"/>
      </bottom>
      <diagonal/>
    </border>
    <border>
      <left/>
      <right style="thin">
        <color indexed="64"/>
      </right>
      <top style="hair">
        <color auto="1"/>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hair">
        <color auto="1"/>
      </bottom>
      <diagonal/>
    </border>
    <border>
      <left style="thin">
        <color indexed="64"/>
      </left>
      <right/>
      <top/>
      <bottom style="hair">
        <color indexed="64"/>
      </bottom>
      <diagonal/>
    </border>
    <border>
      <left style="hair">
        <color auto="1"/>
      </left>
      <right/>
      <top style="hair">
        <color auto="1"/>
      </top>
      <bottom style="thin">
        <color indexed="64"/>
      </bottom>
      <diagonal/>
    </border>
    <border>
      <left style="hair">
        <color indexed="64"/>
      </left>
      <right style="hair">
        <color indexed="64"/>
      </right>
      <top style="thin">
        <color indexed="64"/>
      </top>
      <bottom/>
      <diagonal/>
    </border>
    <border>
      <left style="hair">
        <color auto="1"/>
      </left>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s>
  <cellStyleXfs count="8">
    <xf numFmtId="0" fontId="0" fillId="0" borderId="0">
      <alignment vertical="center"/>
    </xf>
    <xf numFmtId="0" fontId="13" fillId="0" borderId="0">
      <alignment vertical="center"/>
    </xf>
    <xf numFmtId="0" fontId="13" fillId="0" borderId="0">
      <alignment vertical="center"/>
    </xf>
    <xf numFmtId="0" fontId="56" fillId="0" borderId="0">
      <alignment vertical="center"/>
    </xf>
    <xf numFmtId="0" fontId="56" fillId="0" borderId="0">
      <alignment vertical="center"/>
    </xf>
    <xf numFmtId="0" fontId="13" fillId="0" borderId="0">
      <alignment vertical="center"/>
    </xf>
    <xf numFmtId="0" fontId="56" fillId="0" borderId="0">
      <alignment vertical="center"/>
    </xf>
    <xf numFmtId="0" fontId="56" fillId="0" borderId="0">
      <alignment vertical="center"/>
    </xf>
  </cellStyleXfs>
  <cellXfs count="64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lignment vertical="center"/>
    </xf>
    <xf numFmtId="0" fontId="9" fillId="0" borderId="0" xfId="0" applyFont="1" applyAlignment="1">
      <alignment horizontal="lef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0" fillId="9" borderId="12" xfId="0" applyFill="1" applyBorder="1" applyAlignment="1">
      <alignment horizontal="center" vertical="center"/>
    </xf>
    <xf numFmtId="0" fontId="0" fillId="0" borderId="19" xfId="0"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6" fillId="0"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7"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4" fillId="3" borderId="26"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4" fillId="16" borderId="24"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3" fillId="7" borderId="27" xfId="0" applyFont="1" applyFill="1" applyBorder="1" applyAlignment="1">
      <alignment horizontal="center" vertical="center"/>
    </xf>
    <xf numFmtId="0" fontId="3" fillId="7" borderId="25"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0" xfId="0"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4" fillId="0" borderId="37" xfId="0" applyFont="1" applyFill="1" applyBorder="1" applyAlignment="1">
      <alignment horizontal="center" vertical="center" wrapText="1" shrinkToFit="1"/>
    </xf>
    <xf numFmtId="0" fontId="4" fillId="0" borderId="39" xfId="0" applyFont="1" applyFill="1" applyBorder="1" applyAlignment="1">
      <alignment horizontal="center" vertical="center" wrapText="1"/>
    </xf>
    <xf numFmtId="0" fontId="4" fillId="15" borderId="39" xfId="0" applyFont="1" applyFill="1" applyBorder="1" applyAlignment="1">
      <alignment horizontal="center" vertical="center" wrapText="1"/>
    </xf>
    <xf numFmtId="0" fontId="11" fillId="9" borderId="12"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2"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0" xfId="0">
      <alignment vertical="center"/>
    </xf>
    <xf numFmtId="0" fontId="9"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0" fillId="0" borderId="0" xfId="0" applyAlignment="1">
      <alignment horizontal="center" vertical="center"/>
    </xf>
    <xf numFmtId="0" fontId="0" fillId="0" borderId="0" xfId="0" applyFont="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19" xfId="0" applyBorder="1" applyAlignment="1">
      <alignment horizontal="center" vertical="center"/>
    </xf>
    <xf numFmtId="0" fontId="0" fillId="9" borderId="12" xfId="0" applyFill="1" applyBorder="1" applyAlignment="1">
      <alignment horizontal="center" vertical="center"/>
    </xf>
    <xf numFmtId="0" fontId="9" fillId="0" borderId="0" xfId="0" applyFont="1" applyAlignment="1">
      <alignment horizontal="left" vertical="center"/>
    </xf>
    <xf numFmtId="0" fontId="3" fillId="8" borderId="21" xfId="0" applyFont="1" applyFill="1" applyBorder="1" applyAlignment="1">
      <alignment horizontal="center" vertical="center"/>
    </xf>
    <xf numFmtId="0" fontId="5" fillId="2" borderId="23" xfId="0" applyFont="1" applyFill="1" applyBorder="1" applyAlignment="1">
      <alignment horizontal="center" vertical="center" shrinkToFit="1"/>
    </xf>
    <xf numFmtId="0" fontId="17" fillId="0" borderId="0" xfId="0" applyFont="1">
      <alignment vertical="center"/>
    </xf>
    <xf numFmtId="0" fontId="3" fillId="8" borderId="28" xfId="0" applyFont="1" applyFill="1" applyBorder="1" applyAlignment="1">
      <alignment horizontal="center" vertical="center"/>
    </xf>
    <xf numFmtId="0" fontId="5" fillId="4" borderId="20" xfId="0" applyFont="1" applyFill="1" applyBorder="1" applyAlignment="1">
      <alignment horizontal="center" vertical="center" shrinkToFit="1"/>
    </xf>
    <xf numFmtId="0" fontId="10" fillId="8" borderId="32" xfId="0" applyFont="1" applyFill="1" applyBorder="1" applyAlignment="1">
      <alignment horizontal="center" vertical="center" wrapText="1"/>
    </xf>
    <xf numFmtId="0" fontId="17" fillId="9" borderId="19" xfId="0" applyFont="1" applyFill="1" applyBorder="1" applyAlignment="1">
      <alignment horizontal="center" vertical="center" shrinkToFit="1"/>
    </xf>
    <xf numFmtId="0" fontId="10" fillId="7" borderId="40" xfId="0" applyFont="1" applyFill="1" applyBorder="1" applyAlignment="1">
      <alignment horizontal="center" vertical="center" wrapText="1"/>
    </xf>
    <xf numFmtId="0" fontId="3" fillId="7" borderId="2"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16" fillId="0" borderId="0" xfId="0" applyFont="1" applyAlignment="1">
      <alignment horizontal="center" vertical="center"/>
    </xf>
    <xf numFmtId="0" fontId="16"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9" fillId="0" borderId="0" xfId="0" applyFont="1">
      <alignment vertical="center"/>
    </xf>
    <xf numFmtId="0" fontId="6" fillId="17" borderId="1" xfId="0" applyFont="1" applyFill="1" applyBorder="1" applyAlignment="1">
      <alignment horizontal="center" vertical="center"/>
    </xf>
    <xf numFmtId="0" fontId="8" fillId="17" borderId="1" xfId="0" applyFont="1" applyFill="1" applyBorder="1" applyAlignment="1">
      <alignment horizontal="center" vertical="center"/>
    </xf>
    <xf numFmtId="0" fontId="7" fillId="17" borderId="1" xfId="0" applyFont="1" applyFill="1" applyBorder="1" applyAlignment="1">
      <alignment horizontal="center" vertical="center"/>
    </xf>
    <xf numFmtId="0" fontId="6" fillId="17" borderId="1" xfId="0" applyFont="1" applyFill="1" applyBorder="1" applyAlignment="1">
      <alignment horizontal="center" vertical="center" shrinkToFit="1"/>
    </xf>
    <xf numFmtId="0" fontId="7" fillId="17" borderId="13" xfId="0" applyFont="1" applyFill="1" applyBorder="1" applyAlignment="1">
      <alignment horizontal="center" vertical="center" shrinkToFit="1"/>
    </xf>
    <xf numFmtId="0" fontId="8" fillId="17" borderId="1" xfId="0" applyFont="1" applyFill="1" applyBorder="1" applyAlignment="1">
      <alignment horizontal="center" vertical="center" shrinkToFit="1"/>
    </xf>
    <xf numFmtId="0" fontId="7" fillId="17" borderId="1" xfId="0" applyFont="1" applyFill="1" applyBorder="1" applyAlignment="1">
      <alignment horizontal="center" vertical="center" shrinkToFit="1"/>
    </xf>
    <xf numFmtId="0" fontId="23" fillId="9" borderId="1" xfId="0" applyFont="1" applyFill="1" applyBorder="1" applyAlignment="1">
      <alignment horizontal="center" vertical="center" shrinkToFit="1"/>
    </xf>
    <xf numFmtId="0" fontId="23" fillId="9" borderId="19" xfId="0" applyFont="1" applyFill="1" applyBorder="1" applyAlignment="1">
      <alignment horizontal="center" vertical="center" shrinkToFit="1"/>
    </xf>
    <xf numFmtId="0" fontId="9" fillId="0" borderId="0" xfId="0" applyFont="1">
      <alignment vertical="center"/>
    </xf>
    <xf numFmtId="0" fontId="0" fillId="0" borderId="0" xfId="0">
      <alignment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7" borderId="13"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9" fillId="9" borderId="12" xfId="0" applyFont="1" applyFill="1" applyBorder="1" applyAlignment="1">
      <alignment horizontal="center" vertical="center"/>
    </xf>
    <xf numFmtId="0" fontId="11" fillId="9" borderId="19" xfId="0" applyFont="1" applyFill="1" applyBorder="1" applyAlignment="1">
      <alignment horizontal="center" vertical="center"/>
    </xf>
    <xf numFmtId="0" fontId="3" fillId="7" borderId="41" xfId="0" applyFont="1" applyFill="1" applyBorder="1" applyAlignment="1">
      <alignment horizontal="center" vertical="center"/>
    </xf>
    <xf numFmtId="0" fontId="5" fillId="18" borderId="1" xfId="0" applyFont="1" applyFill="1" applyBorder="1" applyAlignment="1">
      <alignment horizontal="center" vertical="center"/>
    </xf>
    <xf numFmtId="0" fontId="4" fillId="0" borderId="19"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7" fillId="17" borderId="13" xfId="0" applyFont="1" applyFill="1" applyBorder="1" applyAlignment="1">
      <alignment horizontal="center" vertical="center" shrinkToFit="1"/>
    </xf>
    <xf numFmtId="0" fontId="2" fillId="5" borderId="1" xfId="0" applyFont="1" applyFill="1" applyBorder="1" applyAlignment="1">
      <alignment horizontal="center" vertical="center"/>
    </xf>
    <xf numFmtId="176" fontId="9" fillId="0" borderId="0" xfId="0" applyNumberFormat="1"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7" fillId="13" borderId="13" xfId="0" applyFont="1" applyFill="1" applyBorder="1" applyAlignment="1">
      <alignment horizontal="center" vertical="center" shrinkToFit="1"/>
    </xf>
    <xf numFmtId="0" fontId="0" fillId="0" borderId="0" xfId="0">
      <alignment vertical="center"/>
    </xf>
    <xf numFmtId="0" fontId="16" fillId="0" borderId="0" xfId="0" applyFont="1" applyAlignment="1">
      <alignment horizontal="center" vertical="center"/>
    </xf>
    <xf numFmtId="0" fontId="16"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9" borderId="13" xfId="0" applyFill="1" applyBorder="1" applyAlignment="1">
      <alignment horizontal="center" vertical="center"/>
    </xf>
    <xf numFmtId="0" fontId="2" fillId="5" borderId="1" xfId="0" applyFont="1" applyFill="1" applyBorder="1" applyAlignment="1">
      <alignment horizontal="center" vertical="center"/>
    </xf>
    <xf numFmtId="0" fontId="0" fillId="9" borderId="2" xfId="0" applyFill="1" applyBorder="1" applyAlignment="1">
      <alignment horizontal="center" vertical="center"/>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7" fillId="17" borderId="13" xfId="0" applyFont="1" applyFill="1" applyBorder="1" applyAlignment="1">
      <alignment horizontal="center" vertical="center" shrinkToFit="1"/>
    </xf>
    <xf numFmtId="0" fontId="0" fillId="0" borderId="13" xfId="0" applyBorder="1" applyAlignment="1">
      <alignment horizontal="center" vertical="center"/>
    </xf>
    <xf numFmtId="0" fontId="19" fillId="5" borderId="14" xfId="0" applyFont="1" applyFill="1" applyBorder="1" applyAlignment="1">
      <alignment horizontal="center" vertical="center"/>
    </xf>
    <xf numFmtId="0" fontId="19" fillId="5" borderId="13" xfId="0" applyFont="1" applyFill="1" applyBorder="1" applyAlignment="1">
      <alignment horizontal="center" vertical="center"/>
    </xf>
    <xf numFmtId="0" fontId="2" fillId="5" borderId="13" xfId="0" applyFont="1" applyFill="1" applyBorder="1" applyAlignment="1">
      <alignment horizontal="center" vertical="center"/>
    </xf>
    <xf numFmtId="0" fontId="2" fillId="0" borderId="0" xfId="0" applyFont="1">
      <alignment vertical="center"/>
    </xf>
    <xf numFmtId="0" fontId="0" fillId="14" borderId="1" xfId="0" applyFill="1" applyBorder="1" applyAlignment="1">
      <alignment horizontal="center" vertical="center"/>
    </xf>
    <xf numFmtId="0" fontId="9" fillId="9" borderId="12" xfId="2" applyFont="1" applyFill="1" applyBorder="1" applyAlignment="1">
      <alignment horizontal="center" vertical="center"/>
    </xf>
    <xf numFmtId="0" fontId="9" fillId="9" borderId="19" xfId="2" applyFont="1" applyFill="1" applyBorder="1" applyAlignment="1">
      <alignment horizontal="center" vertical="center"/>
    </xf>
    <xf numFmtId="0" fontId="9" fillId="9" borderId="19" xfId="2" applyFont="1" applyFill="1" applyBorder="1" applyAlignment="1">
      <alignment horizontal="center" vertical="center"/>
    </xf>
    <xf numFmtId="0" fontId="9" fillId="9" borderId="19" xfId="2" applyFont="1" applyFill="1" applyBorder="1" applyAlignment="1">
      <alignment horizontal="center" vertical="center"/>
    </xf>
    <xf numFmtId="0" fontId="0" fillId="9" borderId="1" xfId="0" applyFill="1" applyBorder="1" applyAlignment="1">
      <alignment horizontal="center" vertical="center" shrinkToFit="1"/>
    </xf>
    <xf numFmtId="0" fontId="12" fillId="0" borderId="0" xfId="0" applyFont="1">
      <alignment vertical="center"/>
    </xf>
    <xf numFmtId="0" fontId="23" fillId="9" borderId="12" xfId="0" applyFont="1" applyFill="1" applyBorder="1" applyAlignment="1">
      <alignment horizontal="center" vertical="center" shrinkToFit="1"/>
    </xf>
    <xf numFmtId="0" fontId="37" fillId="0" borderId="0" xfId="0" applyFont="1" applyAlignment="1">
      <alignment horizontal="center" vertical="center"/>
    </xf>
    <xf numFmtId="0" fontId="37" fillId="0" borderId="0" xfId="0" applyFont="1">
      <alignment vertical="center"/>
    </xf>
    <xf numFmtId="0" fontId="39" fillId="0" borderId="0" xfId="0" applyFont="1" applyAlignment="1">
      <alignment horizontal="center" vertical="center"/>
    </xf>
    <xf numFmtId="0" fontId="39"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41" fillId="0" borderId="0" xfId="0" applyFont="1" applyAlignment="1">
      <alignment horizontal="center" vertical="center"/>
    </xf>
    <xf numFmtId="0" fontId="41" fillId="0" borderId="0" xfId="0" applyFont="1">
      <alignment vertical="center"/>
    </xf>
    <xf numFmtId="0" fontId="0" fillId="0" borderId="1" xfId="0" applyBorder="1" applyAlignment="1">
      <alignment horizontal="center" vertical="center"/>
    </xf>
    <xf numFmtId="0" fontId="4" fillId="21" borderId="46"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3" fillId="7" borderId="9" xfId="0" applyFont="1" applyFill="1" applyBorder="1" applyAlignment="1">
      <alignment horizontal="center" vertical="center"/>
    </xf>
    <xf numFmtId="0" fontId="3" fillId="8" borderId="51" xfId="0" applyFont="1" applyFill="1" applyBorder="1" applyAlignment="1">
      <alignment horizontal="center" vertical="center"/>
    </xf>
    <xf numFmtId="0" fontId="0" fillId="0" borderId="34" xfId="0" applyBorder="1">
      <alignment vertical="center"/>
    </xf>
    <xf numFmtId="0" fontId="0" fillId="0" borderId="44" xfId="0" applyBorder="1">
      <alignment vertical="center"/>
    </xf>
    <xf numFmtId="0" fontId="0" fillId="0" borderId="55" xfId="0" applyBorder="1">
      <alignment vertical="center"/>
    </xf>
    <xf numFmtId="0" fontId="2" fillId="5"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59" xfId="0" applyFont="1" applyFill="1" applyBorder="1" applyAlignment="1">
      <alignment horizontal="center" vertical="center" wrapText="1" shrinkToFit="1"/>
    </xf>
    <xf numFmtId="0" fontId="38" fillId="5" borderId="58" xfId="0" applyFont="1" applyFill="1" applyBorder="1" applyAlignment="1">
      <alignment horizontal="center" vertical="center"/>
    </xf>
    <xf numFmtId="0" fontId="38" fillId="5" borderId="50" xfId="0" applyFont="1" applyFill="1" applyBorder="1" applyAlignment="1">
      <alignment horizontal="center" vertical="center"/>
    </xf>
    <xf numFmtId="0" fontId="38" fillId="5" borderId="46" xfId="0" applyFont="1" applyFill="1" applyBorder="1" applyAlignment="1">
      <alignment horizontal="center" vertical="center"/>
    </xf>
    <xf numFmtId="0" fontId="10" fillId="5" borderId="65" xfId="0" applyFont="1" applyFill="1" applyBorder="1" applyAlignment="1">
      <alignment horizontal="center" vertical="center" wrapText="1" shrinkToFit="1"/>
    </xf>
    <xf numFmtId="0" fontId="38" fillId="5" borderId="67" xfId="0" applyFont="1" applyFill="1" applyBorder="1" applyAlignment="1">
      <alignment horizontal="center" vertical="center"/>
    </xf>
    <xf numFmtId="0" fontId="38" fillId="5" borderId="68" xfId="0" applyFont="1" applyFill="1" applyBorder="1" applyAlignment="1">
      <alignment horizontal="center" vertical="center"/>
    </xf>
    <xf numFmtId="0" fontId="4" fillId="14" borderId="69" xfId="0" applyFont="1" applyFill="1" applyBorder="1" applyAlignment="1">
      <alignment horizontal="center" vertical="center" shrinkToFit="1"/>
    </xf>
    <xf numFmtId="0" fontId="3" fillId="14" borderId="70" xfId="0" applyFont="1" applyFill="1" applyBorder="1" applyAlignment="1">
      <alignment horizontal="center" vertical="center"/>
    </xf>
    <xf numFmtId="0" fontId="3" fillId="14" borderId="71" xfId="0" applyFont="1" applyFill="1" applyBorder="1" applyAlignment="1">
      <alignment horizontal="center" vertical="center"/>
    </xf>
    <xf numFmtId="0" fontId="17" fillId="14" borderId="38" xfId="0" applyFont="1" applyFill="1" applyBorder="1" applyAlignment="1">
      <alignment horizontal="center" vertical="center" shrinkToFit="1"/>
    </xf>
    <xf numFmtId="0" fontId="38" fillId="14" borderId="35" xfId="0" applyFont="1" applyFill="1" applyBorder="1" applyAlignment="1">
      <alignment horizontal="center" vertical="center"/>
    </xf>
    <xf numFmtId="0" fontId="38" fillId="14" borderId="36" xfId="0" applyFont="1"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4" fillId="12" borderId="1" xfId="0" applyFont="1" applyFill="1" applyBorder="1" applyAlignment="1">
      <alignment horizontal="center" vertical="center"/>
    </xf>
    <xf numFmtId="0" fontId="51" fillId="0" borderId="1" xfId="0" applyFont="1" applyBorder="1" applyAlignment="1">
      <alignment horizontal="center" vertical="center"/>
    </xf>
    <xf numFmtId="0" fontId="52" fillId="0" borderId="67" xfId="0" applyFont="1" applyFill="1" applyBorder="1" applyAlignment="1">
      <alignment horizontal="center" vertical="center"/>
    </xf>
    <xf numFmtId="0" fontId="53" fillId="0" borderId="67" xfId="0" applyFont="1" applyBorder="1">
      <alignment vertical="center"/>
    </xf>
    <xf numFmtId="0" fontId="54" fillId="0" borderId="75" xfId="0" applyFont="1" applyBorder="1" applyAlignment="1">
      <alignment horizontal="center" vertical="center"/>
    </xf>
    <xf numFmtId="0" fontId="55" fillId="0" borderId="76" xfId="0" applyFont="1" applyBorder="1" applyAlignment="1">
      <alignment horizontal="center" vertical="center"/>
    </xf>
    <xf numFmtId="0" fontId="54" fillId="22" borderId="76" xfId="0" applyFont="1" applyFill="1" applyBorder="1" applyAlignment="1">
      <alignment horizontal="center" vertical="center"/>
    </xf>
    <xf numFmtId="0" fontId="53" fillId="0" borderId="78" xfId="0" applyFont="1" applyBorder="1">
      <alignment vertical="center"/>
    </xf>
    <xf numFmtId="0" fontId="55" fillId="0" borderId="79" xfId="0" applyFont="1" applyBorder="1" applyAlignment="1">
      <alignment horizontal="center" vertical="center"/>
    </xf>
    <xf numFmtId="0" fontId="55" fillId="0" borderId="80" xfId="0" applyFont="1" applyBorder="1" applyAlignment="1">
      <alignment horizontal="center" vertical="center"/>
    </xf>
    <xf numFmtId="0" fontId="54" fillId="0" borderId="80" xfId="0" applyFont="1" applyBorder="1" applyAlignment="1">
      <alignment horizontal="center" vertical="center"/>
    </xf>
    <xf numFmtId="0" fontId="54" fillId="22" borderId="80" xfId="0" applyFont="1" applyFill="1" applyBorder="1" applyAlignment="1">
      <alignment horizontal="center" vertical="center"/>
    </xf>
    <xf numFmtId="0" fontId="52" fillId="0" borderId="2" xfId="0" applyFont="1" applyFill="1" applyBorder="1" applyAlignment="1">
      <alignment horizontal="center" vertical="center"/>
    </xf>
    <xf numFmtId="0" fontId="53" fillId="0" borderId="70" xfId="0" applyFont="1" applyBorder="1">
      <alignment vertical="center"/>
    </xf>
    <xf numFmtId="0" fontId="55" fillId="0" borderId="82" xfId="0" applyFont="1" applyBorder="1" applyAlignment="1">
      <alignment horizontal="center" vertical="center"/>
    </xf>
    <xf numFmtId="0" fontId="55" fillId="0" borderId="83" xfId="0" applyFont="1" applyBorder="1" applyAlignment="1">
      <alignment horizontal="center" vertical="center"/>
    </xf>
    <xf numFmtId="0" fontId="54" fillId="22" borderId="83" xfId="0" applyFont="1" applyFill="1" applyBorder="1" applyAlignment="1">
      <alignment horizontal="center" vertical="center"/>
    </xf>
    <xf numFmtId="0" fontId="54" fillId="0" borderId="85" xfId="0" applyFont="1" applyBorder="1" applyAlignment="1">
      <alignment horizontal="center" vertical="center"/>
    </xf>
    <xf numFmtId="0" fontId="55" fillId="0" borderId="88" xfId="0" applyFont="1" applyBorder="1" applyAlignment="1">
      <alignment horizontal="center" vertical="center"/>
    </xf>
    <xf numFmtId="0" fontId="54" fillId="0" borderId="79" xfId="0" applyFont="1" applyBorder="1" applyAlignment="1">
      <alignment horizontal="center" vertical="center"/>
    </xf>
    <xf numFmtId="0" fontId="54" fillId="0" borderId="82" xfId="0" applyFont="1" applyBorder="1" applyAlignment="1">
      <alignment horizontal="center" vertical="center"/>
    </xf>
    <xf numFmtId="0" fontId="48" fillId="0" borderId="67" xfId="0" applyFont="1" applyFill="1" applyBorder="1" applyAlignment="1">
      <alignment horizontal="center" vertical="center"/>
    </xf>
    <xf numFmtId="0" fontId="51" fillId="0" borderId="0" xfId="0" applyFont="1" applyAlignment="1">
      <alignment horizontal="center" vertical="center"/>
    </xf>
    <xf numFmtId="0" fontId="13" fillId="12" borderId="9" xfId="0" applyFont="1" applyFill="1" applyBorder="1" applyAlignment="1">
      <alignment horizontal="center" vertical="center"/>
    </xf>
    <xf numFmtId="0" fontId="0" fillId="0" borderId="90" xfId="0" applyBorder="1" applyAlignment="1">
      <alignment horizontal="center" vertical="center"/>
    </xf>
    <xf numFmtId="0" fontId="48" fillId="0" borderId="2" xfId="0" applyFont="1" applyFill="1" applyBorder="1" applyAlignment="1">
      <alignment horizontal="center" vertical="center"/>
    </xf>
    <xf numFmtId="0" fontId="0" fillId="0" borderId="91" xfId="0" applyBorder="1" applyAlignment="1">
      <alignment horizontal="center" vertical="center"/>
    </xf>
    <xf numFmtId="0" fontId="0" fillId="0" borderId="0" xfId="0" applyAlignment="1">
      <alignment horizontal="center" vertical="center" wrapText="1"/>
    </xf>
    <xf numFmtId="0" fontId="51" fillId="0" borderId="0" xfId="0" applyFont="1" applyAlignment="1">
      <alignment horizontal="center" vertical="center" wrapText="1"/>
    </xf>
    <xf numFmtId="0" fontId="14" fillId="12" borderId="99" xfId="0" applyFont="1" applyFill="1" applyBorder="1" applyAlignment="1">
      <alignment horizontal="center" vertical="center" wrapText="1"/>
    </xf>
    <xf numFmtId="0" fontId="45" fillId="22" borderId="74" xfId="0" applyFont="1" applyFill="1" applyBorder="1" applyAlignment="1">
      <alignment horizontal="center" vertical="center" wrapText="1"/>
    </xf>
    <xf numFmtId="0" fontId="45" fillId="22" borderId="72" xfId="0" applyFont="1" applyFill="1" applyBorder="1" applyAlignment="1">
      <alignment horizontal="center" vertical="center" wrapText="1"/>
    </xf>
    <xf numFmtId="0" fontId="45" fillId="22" borderId="72" xfId="0" applyFont="1" applyFill="1" applyBorder="1" applyAlignment="1">
      <alignment horizontal="center" vertical="center" textRotation="255" wrapText="1"/>
    </xf>
    <xf numFmtId="0" fontId="45" fillId="22" borderId="73" xfId="0" applyFont="1" applyFill="1" applyBorder="1" applyAlignment="1">
      <alignment horizontal="center" vertical="center" wrapText="1"/>
    </xf>
    <xf numFmtId="0" fontId="54" fillId="22" borderId="80" xfId="0" applyFont="1" applyFill="1" applyBorder="1" applyAlignment="1">
      <alignment horizontal="center" vertical="center" wrapText="1"/>
    </xf>
    <xf numFmtId="0" fontId="54" fillId="0" borderId="76" xfId="0" applyFont="1" applyBorder="1" applyAlignment="1">
      <alignment horizontal="center" vertical="center" wrapText="1"/>
    </xf>
    <xf numFmtId="0" fontId="54" fillId="0" borderId="80" xfId="0" applyFont="1" applyBorder="1" applyAlignment="1">
      <alignment horizontal="center" vertical="center" wrapText="1"/>
    </xf>
    <xf numFmtId="0" fontId="58" fillId="0" borderId="80" xfId="0" applyFont="1" applyBorder="1" applyAlignment="1">
      <alignment horizontal="center" vertical="center" wrapText="1"/>
    </xf>
    <xf numFmtId="0" fontId="54" fillId="22" borderId="83" xfId="0" applyFont="1" applyFill="1" applyBorder="1" applyAlignment="1">
      <alignment horizontal="center" vertical="center" wrapText="1"/>
    </xf>
    <xf numFmtId="0" fontId="54" fillId="0" borderId="83" xfId="0" applyFont="1" applyBorder="1" applyAlignment="1">
      <alignment horizontal="center" vertical="center" wrapText="1"/>
    </xf>
    <xf numFmtId="0" fontId="0" fillId="0" borderId="0" xfId="0" applyAlignment="1">
      <alignment vertical="center" wrapText="1"/>
    </xf>
    <xf numFmtId="0" fontId="53" fillId="0" borderId="89" xfId="0" applyFont="1" applyBorder="1" applyAlignment="1">
      <alignment horizontal="center" vertical="center"/>
    </xf>
    <xf numFmtId="0" fontId="53" fillId="0" borderId="94" xfId="0" applyFont="1" applyBorder="1" applyAlignment="1">
      <alignment horizontal="center" vertical="center"/>
    </xf>
    <xf numFmtId="0" fontId="59" fillId="22" borderId="75" xfId="0" applyFont="1" applyFill="1" applyBorder="1" applyAlignment="1">
      <alignment horizontal="center" vertical="center"/>
    </xf>
    <xf numFmtId="0" fontId="59" fillId="22" borderId="77" xfId="0" applyFont="1" applyFill="1" applyBorder="1" applyAlignment="1">
      <alignment horizontal="center" vertical="center"/>
    </xf>
    <xf numFmtId="0" fontId="59" fillId="22" borderId="79" xfId="0" applyFont="1" applyFill="1" applyBorder="1" applyAlignment="1">
      <alignment horizontal="center" vertical="center"/>
    </xf>
    <xf numFmtId="0" fontId="59" fillId="22" borderId="81" xfId="0" applyFont="1" applyFill="1" applyBorder="1" applyAlignment="1">
      <alignment horizontal="center" vertical="center"/>
    </xf>
    <xf numFmtId="0" fontId="59" fillId="22" borderId="82" xfId="0" applyFont="1" applyFill="1" applyBorder="1" applyAlignment="1">
      <alignment horizontal="center" vertical="center"/>
    </xf>
    <xf numFmtId="0" fontId="59" fillId="22" borderId="84"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7" fillId="13" borderId="13" xfId="0" applyFont="1" applyFill="1" applyBorder="1" applyAlignment="1">
      <alignment horizontal="center" vertical="center" shrinkToFi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48" fillId="0" borderId="67" xfId="6" applyFont="1" applyFill="1" applyBorder="1" applyAlignment="1">
      <alignment horizontal="center" vertical="center"/>
    </xf>
    <xf numFmtId="0" fontId="57" fillId="0" borderId="78" xfId="6" applyFont="1" applyBorder="1">
      <alignment vertical="center"/>
    </xf>
    <xf numFmtId="0" fontId="54" fillId="0" borderId="79" xfId="6" applyFont="1" applyBorder="1" applyAlignment="1">
      <alignment horizontal="center" vertical="center"/>
    </xf>
    <xf numFmtId="0" fontId="59" fillId="22" borderId="79" xfId="6" applyFont="1" applyFill="1" applyBorder="1" applyAlignment="1">
      <alignment horizontal="center" vertical="center"/>
    </xf>
    <xf numFmtId="0" fontId="59" fillId="22" borderId="81" xfId="6" applyFont="1" applyFill="1" applyBorder="1" applyAlignment="1">
      <alignment horizontal="center" vertical="center"/>
    </xf>
    <xf numFmtId="0" fontId="56" fillId="22" borderId="100" xfId="6" applyFill="1" applyBorder="1" applyAlignment="1">
      <alignment horizontal="center" vertical="center"/>
    </xf>
    <xf numFmtId="0" fontId="56" fillId="0" borderId="0" xfId="6">
      <alignment vertical="center"/>
    </xf>
    <xf numFmtId="0" fontId="0" fillId="9" borderId="13"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38" fillId="0" borderId="2"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4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41" xfId="0" applyFont="1" applyFill="1" applyBorder="1" applyAlignment="1">
      <alignment horizontal="center" vertical="center"/>
    </xf>
    <xf numFmtId="0" fontId="17" fillId="0" borderId="20" xfId="0" applyFont="1" applyFill="1" applyBorder="1" applyAlignment="1">
      <alignment horizontal="center" vertical="center" wrapText="1" shrinkToFit="1"/>
    </xf>
    <xf numFmtId="0" fontId="17" fillId="5" borderId="60" xfId="0" applyFont="1" applyFill="1" applyBorder="1" applyAlignment="1">
      <alignment horizontal="center" vertical="center" wrapText="1" shrinkToFit="1"/>
    </xf>
    <xf numFmtId="0" fontId="62" fillId="5" borderId="74" xfId="0" applyFont="1" applyFill="1" applyBorder="1" applyAlignment="1">
      <alignment horizontal="center" vertical="center" wrapText="1" shrinkToFit="1"/>
    </xf>
    <xf numFmtId="0" fontId="61" fillId="24" borderId="1" xfId="0" applyFont="1" applyFill="1" applyBorder="1" applyAlignment="1">
      <alignment horizontal="center" vertical="center"/>
    </xf>
    <xf numFmtId="0" fontId="4" fillId="0" borderId="1" xfId="0" applyFont="1" applyFill="1" applyBorder="1" applyAlignment="1">
      <alignment horizontal="center" vertical="center"/>
    </xf>
    <xf numFmtId="0" fontId="23" fillId="9" borderId="2"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68" fillId="9"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7" fillId="13" borderId="13" xfId="0" applyFont="1" applyFill="1" applyBorder="1" applyAlignment="1">
      <alignment horizontal="center" vertical="center" shrinkToFit="1"/>
    </xf>
    <xf numFmtId="0" fontId="2" fillId="5" borderId="1" xfId="0" applyFont="1" applyFill="1" applyBorder="1" applyAlignment="1">
      <alignment horizontal="center" vertical="center"/>
    </xf>
    <xf numFmtId="0" fontId="5" fillId="2" borderId="60" xfId="0" applyFont="1" applyFill="1" applyBorder="1" applyAlignment="1">
      <alignment horizontal="center" vertical="center" shrinkToFit="1"/>
    </xf>
    <xf numFmtId="0" fontId="3" fillId="8" borderId="58" xfId="0" applyFont="1" applyFill="1" applyBorder="1" applyAlignment="1">
      <alignment horizontal="center" vertical="center"/>
    </xf>
    <xf numFmtId="0" fontId="3" fillId="8" borderId="50" xfId="0" applyFont="1" applyFill="1" applyBorder="1" applyAlignment="1">
      <alignment horizontal="center" vertical="center"/>
    </xf>
    <xf numFmtId="0" fontId="3" fillId="8" borderId="46" xfId="0" applyFont="1" applyFill="1" applyBorder="1" applyAlignment="1">
      <alignment horizontal="center" vertical="center"/>
    </xf>
    <xf numFmtId="0" fontId="5" fillId="2" borderId="20" xfId="0" applyFont="1" applyFill="1" applyBorder="1" applyAlignment="1">
      <alignment horizontal="center" vertical="center" shrinkToFit="1"/>
    </xf>
    <xf numFmtId="0" fontId="3" fillId="8" borderId="2"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41" xfId="0" applyFont="1" applyFill="1" applyBorder="1" applyAlignment="1">
      <alignment horizontal="center" vertical="center"/>
    </xf>
    <xf numFmtId="0" fontId="5" fillId="4" borderId="59" xfId="0" applyFont="1" applyFill="1" applyBorder="1" applyAlignment="1">
      <alignment horizontal="center" vertical="center" shrinkToFit="1"/>
    </xf>
    <xf numFmtId="0" fontId="3" fillId="7" borderId="47" xfId="0" applyFont="1" applyFill="1" applyBorder="1" applyAlignment="1">
      <alignment horizontal="center" vertical="center"/>
    </xf>
    <xf numFmtId="0" fontId="5" fillId="4" borderId="60" xfId="0" applyFont="1" applyFill="1" applyBorder="1" applyAlignment="1">
      <alignment horizontal="center" vertical="center" shrinkToFit="1"/>
    </xf>
    <xf numFmtId="0" fontId="3" fillId="7" borderId="58" xfId="0" applyFont="1" applyFill="1" applyBorder="1" applyAlignment="1">
      <alignment horizontal="center" vertical="center"/>
    </xf>
    <xf numFmtId="0" fontId="3" fillId="7" borderId="50" xfId="0" applyFont="1" applyFill="1" applyBorder="1" applyAlignment="1">
      <alignment horizontal="center" vertical="center"/>
    </xf>
    <xf numFmtId="0" fontId="3" fillId="7" borderId="46" xfId="0" applyFont="1" applyFill="1" applyBorder="1" applyAlignment="1">
      <alignment horizontal="center" vertical="center"/>
    </xf>
    <xf numFmtId="0" fontId="38" fillId="8" borderId="32"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13" fillId="0" borderId="53" xfId="0" applyFont="1" applyBorder="1" applyAlignment="1">
      <alignment horizontal="left" vertical="center"/>
    </xf>
    <xf numFmtId="0" fontId="13" fillId="0" borderId="0" xfId="0" applyFont="1" applyBorder="1" applyAlignment="1">
      <alignment horizontal="left" vertical="center"/>
    </xf>
    <xf numFmtId="0" fontId="13" fillId="0" borderId="54" xfId="0" applyFont="1" applyBorder="1" applyAlignment="1">
      <alignment horizontal="left" vertical="center"/>
    </xf>
    <xf numFmtId="0" fontId="14" fillId="0" borderId="53" xfId="0" applyFont="1" applyBorder="1" applyAlignment="1">
      <alignment horizontal="left" vertical="center"/>
    </xf>
    <xf numFmtId="0" fontId="14" fillId="0" borderId="0" xfId="0" applyFont="1" applyBorder="1" applyAlignment="1">
      <alignment horizontal="left" vertical="center"/>
    </xf>
    <xf numFmtId="0" fontId="14" fillId="0" borderId="54" xfId="0" applyFont="1" applyBorder="1" applyAlignment="1">
      <alignment horizontal="left" vertical="center"/>
    </xf>
    <xf numFmtId="0" fontId="9" fillId="0" borderId="29" xfId="0" applyFont="1" applyBorder="1" applyAlignment="1">
      <alignment horizontal="left" vertical="center"/>
    </xf>
    <xf numFmtId="0" fontId="9" fillId="0" borderId="42" xfId="0" applyFont="1" applyBorder="1" applyAlignment="1">
      <alignment horizontal="left" vertical="center"/>
    </xf>
    <xf numFmtId="0" fontId="9" fillId="0" borderId="52" xfId="0" applyFont="1" applyBorder="1" applyAlignment="1">
      <alignment horizontal="left" vertical="center"/>
    </xf>
    <xf numFmtId="0" fontId="0" fillId="0" borderId="53" xfId="0" applyBorder="1" applyAlignment="1">
      <alignment horizontal="left" vertical="center"/>
    </xf>
    <xf numFmtId="0" fontId="0" fillId="0" borderId="0" xfId="0" applyBorder="1" applyAlignment="1">
      <alignment horizontal="left" vertical="center"/>
    </xf>
    <xf numFmtId="0" fontId="0" fillId="0" borderId="54" xfId="0" applyBorder="1" applyAlignment="1">
      <alignment horizontal="left" vertical="center"/>
    </xf>
    <xf numFmtId="0" fontId="13" fillId="0" borderId="53" xfId="0" applyFont="1" applyBorder="1" applyAlignment="1">
      <alignment horizontal="left" vertical="center" wrapText="1"/>
    </xf>
    <xf numFmtId="0" fontId="0" fillId="0" borderId="53" xfId="0" applyBorder="1" applyAlignment="1">
      <alignment horizontal="left" vertical="center" wrapText="1"/>
    </xf>
    <xf numFmtId="0" fontId="50" fillId="0" borderId="0" xfId="0" applyFont="1" applyBorder="1" applyAlignment="1">
      <alignment horizontal="left" vertical="center"/>
    </xf>
    <xf numFmtId="0" fontId="13" fillId="0" borderId="0" xfId="0" applyFont="1" applyAlignment="1">
      <alignment horizontal="left" vertical="center"/>
    </xf>
    <xf numFmtId="0" fontId="13" fillId="0" borderId="34" xfId="0" applyFont="1" applyBorder="1" applyAlignment="1">
      <alignment horizontal="left" vertical="center"/>
    </xf>
    <xf numFmtId="0" fontId="13" fillId="0" borderId="44" xfId="0" applyFont="1" applyBorder="1" applyAlignment="1">
      <alignment horizontal="left" vertical="center"/>
    </xf>
    <xf numFmtId="0" fontId="13" fillId="0" borderId="55" xfId="0" applyFont="1" applyBorder="1" applyAlignment="1">
      <alignment horizontal="left" vertical="center"/>
    </xf>
    <xf numFmtId="0" fontId="0" fillId="0" borderId="0" xfId="0" applyAlignment="1">
      <alignment horizontal="left" vertical="center"/>
    </xf>
    <xf numFmtId="0" fontId="0" fillId="0" borderId="34" xfId="0" applyBorder="1" applyAlignment="1">
      <alignment horizontal="left" vertical="center"/>
    </xf>
    <xf numFmtId="0" fontId="0" fillId="0" borderId="44" xfId="0" applyBorder="1" applyAlignment="1">
      <alignment horizontal="left" vertical="center"/>
    </xf>
    <xf numFmtId="0" fontId="0" fillId="0" borderId="55" xfId="0" applyBorder="1" applyAlignment="1">
      <alignment horizontal="left"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9" borderId="15"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9" fillId="5" borderId="1"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8" xfId="0" applyFont="1" applyFill="1"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2" fillId="5" borderId="13" xfId="0" applyFont="1" applyFill="1" applyBorder="1" applyAlignment="1">
      <alignment horizontal="center" vertical="center" shrinkToFit="1"/>
    </xf>
    <xf numFmtId="0" fontId="2" fillId="5" borderId="14" xfId="0" applyFont="1" applyFill="1" applyBorder="1" applyAlignment="1">
      <alignment horizontal="center" vertical="center" shrinkToFit="1"/>
    </xf>
    <xf numFmtId="0" fontId="2" fillId="5" borderId="15"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2" xfId="0" applyFill="1" applyBorder="1" applyAlignment="1">
      <alignment horizontal="center" vertical="center"/>
    </xf>
    <xf numFmtId="56" fontId="19" fillId="5" borderId="1" xfId="0" quotePrefix="1" applyNumberFormat="1" applyFont="1" applyFill="1" applyBorder="1" applyAlignment="1">
      <alignment horizontal="center" vertical="center"/>
    </xf>
    <xf numFmtId="0" fontId="51" fillId="0" borderId="0" xfId="0" applyFont="1" applyAlignment="1">
      <alignment horizontal="center" vertical="center"/>
    </xf>
    <xf numFmtId="0" fontId="14" fillId="12" borderId="1" xfId="0" applyFont="1" applyFill="1" applyBorder="1" applyAlignment="1">
      <alignment horizontal="center" vertical="center"/>
    </xf>
    <xf numFmtId="0" fontId="53" fillId="12" borderId="1" xfId="0" applyFont="1" applyFill="1" applyBorder="1" applyAlignment="1">
      <alignment horizontal="center" vertical="center"/>
    </xf>
    <xf numFmtId="0" fontId="14" fillId="12" borderId="4" xfId="0" applyFont="1" applyFill="1" applyBorder="1" applyAlignment="1">
      <alignment horizontal="center" vertical="center"/>
    </xf>
    <xf numFmtId="0" fontId="14" fillId="12" borderId="5" xfId="0" applyFont="1" applyFill="1" applyBorder="1" applyAlignment="1">
      <alignment horizontal="center" vertical="center"/>
    </xf>
    <xf numFmtId="0" fontId="14" fillId="12" borderId="9" xfId="0" applyFont="1" applyFill="1" applyBorder="1" applyAlignment="1">
      <alignment horizontal="center" vertical="center"/>
    </xf>
    <xf numFmtId="0" fontId="14" fillId="12" borderId="10" xfId="0" applyFont="1" applyFill="1" applyBorder="1" applyAlignment="1">
      <alignment horizontal="center" vertical="center"/>
    </xf>
    <xf numFmtId="0" fontId="14" fillId="12" borderId="96" xfId="0" applyFont="1" applyFill="1" applyBorder="1" applyAlignment="1">
      <alignment horizontal="center" vertical="center" wrapText="1"/>
    </xf>
    <xf numFmtId="0" fontId="14" fillId="12" borderId="98"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0" fillId="0" borderId="10" xfId="0" applyBorder="1">
      <alignment vertical="center"/>
    </xf>
    <xf numFmtId="0" fontId="14" fillId="12" borderId="97"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46" fillId="23" borderId="12" xfId="0" applyFont="1" applyFill="1" applyBorder="1" applyAlignment="1">
      <alignment horizontal="center" vertical="center" wrapText="1"/>
    </xf>
    <xf numFmtId="0" fontId="46" fillId="23" borderId="2" xfId="0" applyFont="1" applyFill="1" applyBorder="1" applyAlignment="1">
      <alignment horizontal="center" vertical="center" wrapText="1"/>
    </xf>
    <xf numFmtId="0" fontId="53" fillId="0" borderId="89" xfId="0" applyFont="1" applyBorder="1" applyAlignment="1">
      <alignment horizontal="center" vertical="center"/>
    </xf>
    <xf numFmtId="0" fontId="53" fillId="0" borderId="82" xfId="0" applyFont="1" applyBorder="1" applyAlignment="1">
      <alignment horizontal="center" vertical="center"/>
    </xf>
    <xf numFmtId="0" fontId="53" fillId="0" borderId="95" xfId="0" applyFont="1" applyBorder="1" applyAlignment="1">
      <alignment horizontal="center" vertical="center" wrapText="1"/>
    </xf>
    <xf numFmtId="0" fontId="53" fillId="0" borderId="91" xfId="0" applyFont="1" applyBorder="1" applyAlignment="1">
      <alignment horizontal="center" vertical="center" wrapText="1"/>
    </xf>
    <xf numFmtId="0" fontId="50" fillId="22" borderId="89" xfId="0" applyFont="1" applyFill="1" applyBorder="1" applyAlignment="1">
      <alignment horizontal="center" vertical="center"/>
    </xf>
    <xf numFmtId="0" fontId="50" fillId="22" borderId="82" xfId="0" applyFont="1" applyFill="1" applyBorder="1" applyAlignment="1">
      <alignment horizontal="center" vertical="center"/>
    </xf>
    <xf numFmtId="0" fontId="0" fillId="22" borderId="95" xfId="0" applyFill="1" applyBorder="1" applyAlignment="1">
      <alignment horizontal="center" vertical="center"/>
    </xf>
    <xf numFmtId="0" fontId="0" fillId="22" borderId="82" xfId="0" applyFill="1" applyBorder="1" applyAlignment="1">
      <alignment horizontal="center" vertical="center"/>
    </xf>
    <xf numFmtId="0" fontId="0" fillId="22" borderId="91" xfId="0" applyFill="1" applyBorder="1" applyAlignment="1">
      <alignment horizontal="center" vertical="center"/>
    </xf>
    <xf numFmtId="0" fontId="60" fillId="11" borderId="19" xfId="0" applyFont="1" applyFill="1" applyBorder="1" applyAlignment="1">
      <alignment horizontal="center" vertical="center" wrapText="1"/>
    </xf>
    <xf numFmtId="0" fontId="60" fillId="11" borderId="2" xfId="0" applyFont="1" applyFill="1" applyBorder="1" applyAlignment="1">
      <alignment horizontal="center" vertical="center" wrapText="1"/>
    </xf>
    <xf numFmtId="0" fontId="53" fillId="0" borderId="86" xfId="0" applyFont="1" applyBorder="1" applyAlignment="1">
      <alignment horizontal="center" vertical="center"/>
    </xf>
    <xf numFmtId="0" fontId="53" fillId="0" borderId="87" xfId="0" applyFont="1" applyBorder="1" applyAlignment="1">
      <alignment horizontal="center" vertical="center"/>
    </xf>
    <xf numFmtId="0" fontId="53" fillId="0" borderId="33" xfId="0" applyFont="1" applyBorder="1" applyAlignment="1">
      <alignment horizontal="center" vertical="center" wrapText="1"/>
    </xf>
    <xf numFmtId="0" fontId="53" fillId="0" borderId="93" xfId="0" applyFont="1" applyBorder="1" applyAlignment="1">
      <alignment horizontal="center" vertical="center" wrapText="1"/>
    </xf>
    <xf numFmtId="0" fontId="50" fillId="22" borderId="86" xfId="0" applyFont="1" applyFill="1" applyBorder="1" applyAlignment="1">
      <alignment horizontal="center" vertical="center"/>
    </xf>
    <xf numFmtId="0" fontId="50" fillId="22" borderId="87" xfId="0" applyFont="1" applyFill="1" applyBorder="1" applyAlignment="1">
      <alignment horizontal="center" vertical="center"/>
    </xf>
    <xf numFmtId="0" fontId="0" fillId="22" borderId="33" xfId="0" applyFill="1" applyBorder="1" applyAlignment="1">
      <alignment horizontal="center" vertical="center"/>
    </xf>
    <xf numFmtId="0" fontId="0" fillId="22" borderId="87" xfId="0" applyFill="1" applyBorder="1" applyAlignment="1">
      <alignment horizontal="center" vertical="center"/>
    </xf>
    <xf numFmtId="0" fontId="0" fillId="22" borderId="93" xfId="0" applyFill="1" applyBorder="1" applyAlignment="1">
      <alignment horizontal="center" vertical="center"/>
    </xf>
    <xf numFmtId="0" fontId="50"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41" fillId="22" borderId="13" xfId="0" applyFont="1" applyFill="1" applyBorder="1" applyAlignment="1">
      <alignment horizontal="center" vertical="center"/>
    </xf>
    <xf numFmtId="0" fontId="41" fillId="22" borderId="72" xfId="0" applyFont="1" applyFill="1" applyBorder="1" applyAlignment="1">
      <alignment horizontal="center" vertical="center"/>
    </xf>
    <xf numFmtId="0" fontId="41" fillId="22" borderId="92" xfId="0" applyFont="1" applyFill="1" applyBorder="1" applyAlignment="1">
      <alignment horizontal="center" vertical="center"/>
    </xf>
    <xf numFmtId="0" fontId="41" fillId="22" borderId="15" xfId="0" applyFont="1"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45" fillId="5" borderId="2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0" fillId="0" borderId="7" xfId="0" applyFont="1" applyBorder="1" applyAlignment="1">
      <alignment horizontal="left" vertical="center"/>
    </xf>
    <xf numFmtId="0" fontId="20" fillId="0" borderId="0" xfId="0" applyFont="1" applyBorder="1" applyAlignment="1">
      <alignment horizontal="left" vertical="center"/>
    </xf>
    <xf numFmtId="0" fontId="20" fillId="0" borderId="8" xfId="0" applyFont="1" applyBorder="1" applyAlignment="1">
      <alignment horizontal="left" vertical="center"/>
    </xf>
    <xf numFmtId="0" fontId="45" fillId="0" borderId="62" xfId="0" applyFont="1" applyFill="1" applyBorder="1" applyAlignment="1">
      <alignment horizontal="center" vertical="center" wrapText="1" shrinkToFit="1"/>
    </xf>
    <xf numFmtId="0" fontId="45" fillId="0" borderId="64" xfId="0" applyFont="1" applyFill="1" applyBorder="1" applyAlignment="1">
      <alignment horizontal="center" vertical="center" wrapText="1" shrinkToFit="1"/>
    </xf>
    <xf numFmtId="0" fontId="45" fillId="0" borderId="63" xfId="0" applyFont="1" applyFill="1" applyBorder="1" applyAlignment="1">
      <alignment horizontal="center" vertical="center" wrapText="1" shrinkToFit="1"/>
    </xf>
    <xf numFmtId="0" fontId="36" fillId="10" borderId="56" xfId="0" applyFont="1" applyFill="1" applyBorder="1" applyAlignment="1">
      <alignment horizontal="center" vertical="center" shrinkToFit="1"/>
    </xf>
    <xf numFmtId="0" fontId="36" fillId="10" borderId="66" xfId="0" applyFont="1" applyFill="1" applyBorder="1" applyAlignment="1">
      <alignment horizontal="center" vertical="center" shrinkToFit="1"/>
    </xf>
    <xf numFmtId="0" fontId="36" fillId="10" borderId="57" xfId="0" applyFont="1" applyFill="1" applyBorder="1" applyAlignment="1">
      <alignment horizontal="center" vertical="center" shrinkToFit="1"/>
    </xf>
    <xf numFmtId="0" fontId="7" fillId="6" borderId="13" xfId="0" applyFont="1" applyFill="1" applyBorder="1" applyAlignment="1">
      <alignment horizontal="center" vertical="center"/>
    </xf>
    <xf numFmtId="0" fontId="7" fillId="6" borderId="15"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5" xfId="0" applyFont="1" applyFill="1" applyBorder="1" applyAlignment="1">
      <alignment horizontal="center" vertical="center"/>
    </xf>
    <xf numFmtId="0" fontId="7" fillId="6" borderId="1" xfId="0" applyFont="1" applyFill="1" applyBorder="1" applyAlignment="1">
      <alignment horizontal="left"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15" xfId="0" applyFont="1" applyFill="1" applyBorder="1" applyAlignment="1">
      <alignment horizontal="center" vertical="center" shrinkToFit="1"/>
    </xf>
    <xf numFmtId="0" fontId="0" fillId="0" borderId="7" xfId="0" applyBorder="1" applyAlignment="1">
      <alignment horizontal="left" vertical="center"/>
    </xf>
    <xf numFmtId="0" fontId="0" fillId="0" borderId="8" xfId="0"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13" fillId="0" borderId="11" xfId="0" applyFont="1" applyBorder="1" applyAlignment="1">
      <alignment horizontal="left" vertical="center"/>
    </xf>
    <xf numFmtId="0" fontId="5" fillId="6" borderId="16"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45" fillId="11" borderId="22" xfId="0" applyFont="1" applyFill="1" applyBorder="1" applyAlignment="1">
      <alignment horizontal="center" vertical="center" wrapText="1"/>
    </xf>
    <xf numFmtId="0" fontId="45" fillId="11" borderId="3" xfId="0" applyFont="1" applyFill="1" applyBorder="1" applyAlignment="1">
      <alignment horizontal="center" vertical="center" wrapText="1"/>
    </xf>
    <xf numFmtId="0" fontId="23" fillId="0" borderId="0"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5" fillId="20" borderId="47" xfId="0" applyFont="1" applyFill="1" applyBorder="1" applyAlignment="1">
      <alignment horizontal="center" vertical="center" wrapText="1"/>
    </xf>
    <xf numFmtId="0" fontId="5" fillId="20" borderId="48" xfId="0" applyFont="1" applyFill="1" applyBorder="1" applyAlignment="1">
      <alignment horizontal="center" vertical="center" wrapText="1"/>
    </xf>
    <xf numFmtId="0" fontId="17" fillId="25" borderId="56" xfId="0" applyFont="1" applyFill="1" applyBorder="1" applyAlignment="1">
      <alignment horizontal="center" vertical="center" wrapText="1"/>
    </xf>
    <xf numFmtId="0" fontId="17" fillId="25" borderId="57" xfId="0" applyFont="1" applyFill="1" applyBorder="1" applyAlignment="1">
      <alignment horizontal="center" vertical="center" wrapText="1"/>
    </xf>
    <xf numFmtId="0" fontId="10" fillId="10" borderId="56" xfId="0" applyFont="1" applyFill="1" applyBorder="1" applyAlignment="1">
      <alignment horizontal="center" vertical="center" shrinkToFit="1"/>
    </xf>
    <xf numFmtId="0" fontId="10" fillId="10" borderId="66" xfId="0" applyFont="1" applyFill="1" applyBorder="1" applyAlignment="1">
      <alignment horizontal="center" vertical="center" shrinkToFit="1"/>
    </xf>
    <xf numFmtId="0" fontId="10" fillId="10" borderId="57" xfId="0" applyFont="1" applyFill="1" applyBorder="1" applyAlignment="1">
      <alignment horizontal="center" vertical="center" shrinkToFit="1"/>
    </xf>
    <xf numFmtId="0" fontId="22" fillId="6" borderId="29" xfId="0" applyFont="1" applyFill="1" applyBorder="1" applyAlignment="1">
      <alignment horizontal="center" vertical="center" shrinkToFit="1"/>
    </xf>
    <xf numFmtId="0" fontId="22" fillId="6" borderId="42" xfId="0" applyFont="1" applyFill="1" applyBorder="1" applyAlignment="1">
      <alignment horizontal="center" vertical="center" shrinkToFit="1"/>
    </xf>
    <xf numFmtId="0" fontId="22" fillId="6" borderId="43" xfId="0" applyFont="1" applyFill="1" applyBorder="1" applyAlignment="1">
      <alignment horizontal="center" vertical="center" shrinkToFit="1"/>
    </xf>
    <xf numFmtId="0" fontId="22" fillId="6" borderId="34" xfId="0" applyFont="1" applyFill="1" applyBorder="1" applyAlignment="1">
      <alignment horizontal="center" vertical="center" shrinkToFit="1"/>
    </xf>
    <xf numFmtId="0" fontId="22" fillId="6" borderId="44" xfId="0" applyFont="1" applyFill="1" applyBorder="1" applyAlignment="1">
      <alignment horizontal="center" vertical="center" shrinkToFit="1"/>
    </xf>
    <xf numFmtId="0" fontId="22" fillId="6" borderId="45" xfId="0" applyFont="1" applyFill="1" applyBorder="1" applyAlignment="1">
      <alignment horizontal="center" vertical="center" shrinkToFit="1"/>
    </xf>
    <xf numFmtId="0" fontId="5" fillId="19" borderId="47" xfId="0" applyFont="1" applyFill="1" applyBorder="1" applyAlignment="1">
      <alignment horizontal="center" vertical="center" wrapText="1"/>
    </xf>
    <xf numFmtId="0" fontId="5" fillId="19" borderId="49" xfId="0" applyFont="1" applyFill="1" applyBorder="1" applyAlignment="1">
      <alignment horizontal="center" vertical="center" wrapText="1"/>
    </xf>
    <xf numFmtId="0" fontId="66" fillId="0" borderId="7" xfId="0" applyFont="1" applyBorder="1" applyAlignment="1">
      <alignment horizontal="center" vertical="center"/>
    </xf>
    <xf numFmtId="0" fontId="66" fillId="0" borderId="0" xfId="0" applyFont="1" applyBorder="1" applyAlignment="1">
      <alignment horizontal="center" vertical="center"/>
    </xf>
    <xf numFmtId="0" fontId="66" fillId="0" borderId="8" xfId="0" applyFont="1" applyBorder="1" applyAlignment="1">
      <alignment horizontal="center"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47" fillId="0" borderId="7" xfId="0" applyFont="1" applyBorder="1" applyAlignment="1">
      <alignment horizontal="left" vertical="center"/>
    </xf>
    <xf numFmtId="0" fontId="47" fillId="0" borderId="0" xfId="0" applyFont="1" applyBorder="1" applyAlignment="1">
      <alignment horizontal="left" vertical="center"/>
    </xf>
    <xf numFmtId="0" fontId="47" fillId="0" borderId="8" xfId="0" applyFont="1" applyBorder="1" applyAlignment="1">
      <alignment horizontal="left" vertical="center"/>
    </xf>
    <xf numFmtId="0" fontId="13" fillId="0" borderId="4" xfId="2" applyBorder="1" applyAlignment="1">
      <alignment horizontal="left" vertical="center"/>
    </xf>
    <xf numFmtId="0" fontId="13" fillId="0" borderId="5" xfId="2" applyBorder="1" applyAlignment="1">
      <alignment horizontal="left" vertical="center"/>
    </xf>
    <xf numFmtId="0" fontId="13" fillId="0" borderId="6" xfId="2" applyBorder="1" applyAlignment="1">
      <alignment horizontal="left" vertical="center"/>
    </xf>
    <xf numFmtId="0" fontId="13" fillId="0" borderId="7" xfId="2" applyBorder="1" applyAlignment="1">
      <alignment horizontal="left" vertical="center"/>
    </xf>
    <xf numFmtId="0" fontId="13" fillId="0" borderId="0" xfId="2" applyBorder="1" applyAlignment="1">
      <alignment horizontal="left" vertical="center"/>
    </xf>
    <xf numFmtId="0" fontId="13" fillId="0" borderId="8" xfId="2" applyBorder="1" applyAlignment="1">
      <alignment horizontal="left" vertical="center"/>
    </xf>
    <xf numFmtId="0" fontId="13" fillId="0" borderId="7" xfId="1" applyBorder="1" applyAlignment="1">
      <alignment horizontal="left" vertical="center"/>
    </xf>
    <xf numFmtId="0" fontId="13" fillId="0" borderId="0" xfId="1" applyBorder="1" applyAlignment="1">
      <alignment horizontal="left" vertical="center"/>
    </xf>
    <xf numFmtId="0" fontId="13" fillId="0" borderId="8" xfId="1" applyBorder="1" applyAlignment="1">
      <alignment horizontal="left" vertical="center"/>
    </xf>
    <xf numFmtId="0" fontId="45" fillId="11" borderId="61" xfId="0" applyFont="1" applyFill="1" applyBorder="1" applyAlignment="1">
      <alignment horizontal="center" vertical="center" wrapText="1"/>
    </xf>
    <xf numFmtId="0" fontId="10" fillId="7" borderId="56"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39" fillId="0" borderId="0" xfId="0" applyFont="1" applyAlignment="1">
      <alignment horizontal="left" vertical="center"/>
    </xf>
    <xf numFmtId="0" fontId="37" fillId="0" borderId="0" xfId="0" applyFont="1" applyAlignment="1">
      <alignment horizontal="left" vertical="center"/>
    </xf>
    <xf numFmtId="0" fontId="22" fillId="13" borderId="29" xfId="0" applyFont="1" applyFill="1" applyBorder="1" applyAlignment="1">
      <alignment horizontal="center" vertical="center" shrinkToFit="1"/>
    </xf>
    <xf numFmtId="0" fontId="22" fillId="13" borderId="42" xfId="0" applyFont="1" applyFill="1" applyBorder="1" applyAlignment="1">
      <alignment horizontal="center" vertical="center" shrinkToFit="1"/>
    </xf>
    <xf numFmtId="0" fontId="22" fillId="13" borderId="43" xfId="0" applyFont="1" applyFill="1" applyBorder="1" applyAlignment="1">
      <alignment horizontal="center" vertical="center" shrinkToFit="1"/>
    </xf>
    <xf numFmtId="0" fontId="22" fillId="13" borderId="34" xfId="0" applyFont="1" applyFill="1" applyBorder="1" applyAlignment="1">
      <alignment horizontal="center" vertical="center" shrinkToFit="1"/>
    </xf>
    <xf numFmtId="0" fontId="22" fillId="13" borderId="44" xfId="0" applyFont="1" applyFill="1" applyBorder="1" applyAlignment="1">
      <alignment horizontal="center" vertical="center" shrinkToFit="1"/>
    </xf>
    <xf numFmtId="0" fontId="22" fillId="13" borderId="45" xfId="0" applyFont="1" applyFill="1" applyBorder="1" applyAlignment="1">
      <alignment horizontal="center" vertical="center" shrinkToFit="1"/>
    </xf>
    <xf numFmtId="0" fontId="8" fillId="13" borderId="13" xfId="0" applyFont="1" applyFill="1" applyBorder="1" applyAlignment="1">
      <alignment horizontal="center" vertical="center"/>
    </xf>
    <xf numFmtId="0" fontId="8" fillId="13" borderId="15" xfId="0" applyFont="1" applyFill="1" applyBorder="1" applyAlignment="1">
      <alignment horizontal="center" vertical="center"/>
    </xf>
    <xf numFmtId="0" fontId="7" fillId="13" borderId="1" xfId="0" applyFont="1" applyFill="1" applyBorder="1" applyAlignment="1">
      <alignment horizontal="left" vertical="center"/>
    </xf>
    <xf numFmtId="0" fontId="64" fillId="13" borderId="13" xfId="0" applyFont="1" applyFill="1" applyBorder="1" applyAlignment="1">
      <alignment horizontal="center" vertical="center"/>
    </xf>
    <xf numFmtId="0" fontId="65" fillId="13" borderId="14" xfId="0" applyFont="1" applyFill="1" applyBorder="1" applyAlignment="1">
      <alignment horizontal="center" vertical="center"/>
    </xf>
    <xf numFmtId="0" fontId="65" fillId="13" borderId="15" xfId="0" applyFont="1" applyFill="1" applyBorder="1" applyAlignment="1">
      <alignment horizontal="center" vertical="center"/>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7" fillId="13" borderId="15" xfId="0" applyFont="1" applyFill="1" applyBorder="1" applyAlignment="1">
      <alignment horizontal="center" vertical="center" shrinkToFit="1"/>
    </xf>
    <xf numFmtId="0" fontId="6" fillId="13" borderId="13" xfId="0" applyFont="1" applyFill="1" applyBorder="1" applyAlignment="1">
      <alignment horizontal="center" vertical="center" shrinkToFit="1"/>
    </xf>
    <xf numFmtId="0" fontId="6" fillId="13" borderId="15" xfId="0" applyFont="1" applyFill="1" applyBorder="1" applyAlignment="1">
      <alignment horizontal="center" vertical="center" shrinkToFit="1"/>
    </xf>
    <xf numFmtId="0" fontId="38" fillId="0" borderId="7" xfId="0" applyFont="1" applyBorder="1" applyAlignment="1">
      <alignment horizontal="left" vertical="center"/>
    </xf>
    <xf numFmtId="0" fontId="38" fillId="0" borderId="0" xfId="0" applyFont="1" applyBorder="1" applyAlignment="1">
      <alignment horizontal="left" vertical="center"/>
    </xf>
    <xf numFmtId="0" fontId="38" fillId="0" borderId="8" xfId="0" applyFont="1" applyBorder="1" applyAlignment="1">
      <alignment horizontal="left" vertical="center"/>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34" fillId="0" borderId="7" xfId="1"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33" fillId="0" borderId="7" xfId="1" applyFont="1" applyBorder="1" applyAlignment="1">
      <alignment horizontal="left" vertical="center"/>
    </xf>
    <xf numFmtId="0" fontId="16" fillId="0" borderId="7" xfId="0" applyFont="1" applyBorder="1" applyAlignment="1">
      <alignment horizontal="left" vertical="center" wrapText="1"/>
    </xf>
    <xf numFmtId="0" fontId="13" fillId="0" borderId="7" xfId="0" applyFont="1" applyBorder="1" applyAlignment="1">
      <alignment horizontal="left" vertical="center" wrapText="1"/>
    </xf>
    <xf numFmtId="0" fontId="5" fillId="18" borderId="13" xfId="0" applyFont="1" applyFill="1" applyBorder="1" applyAlignment="1">
      <alignment horizontal="left" vertical="center"/>
    </xf>
    <xf numFmtId="0" fontId="5" fillId="18" borderId="14" xfId="0" applyFont="1" applyFill="1" applyBorder="1" applyAlignment="1">
      <alignment horizontal="left" vertical="center"/>
    </xf>
    <xf numFmtId="0" fontId="5" fillId="18" borderId="15" xfId="0" applyFont="1" applyFill="1" applyBorder="1" applyAlignment="1">
      <alignment horizontal="left" vertical="center"/>
    </xf>
    <xf numFmtId="0" fontId="22" fillId="17" borderId="29" xfId="0" applyFont="1" applyFill="1" applyBorder="1" applyAlignment="1">
      <alignment horizontal="center" vertical="center" shrinkToFit="1"/>
    </xf>
    <xf numFmtId="0" fontId="22" fillId="17" borderId="42" xfId="0" applyFont="1" applyFill="1" applyBorder="1" applyAlignment="1">
      <alignment horizontal="center" vertical="center" shrinkToFit="1"/>
    </xf>
    <xf numFmtId="0" fontId="22" fillId="17" borderId="43" xfId="0" applyFont="1" applyFill="1" applyBorder="1" applyAlignment="1">
      <alignment horizontal="center" vertical="center" shrinkToFit="1"/>
    </xf>
    <xf numFmtId="0" fontId="22" fillId="17" borderId="34" xfId="0" applyFont="1" applyFill="1" applyBorder="1" applyAlignment="1">
      <alignment horizontal="center" vertical="center" shrinkToFit="1"/>
    </xf>
    <xf numFmtId="0" fontId="22" fillId="17" borderId="44" xfId="0" applyFont="1" applyFill="1" applyBorder="1" applyAlignment="1">
      <alignment horizontal="center" vertical="center" shrinkToFit="1"/>
    </xf>
    <xf numFmtId="0" fontId="22" fillId="17" borderId="45" xfId="0" applyFont="1" applyFill="1" applyBorder="1" applyAlignment="1">
      <alignment horizontal="center" vertical="center" shrinkToFit="1"/>
    </xf>
    <xf numFmtId="0" fontId="7" fillId="17" borderId="13" xfId="0" applyFont="1" applyFill="1" applyBorder="1" applyAlignment="1">
      <alignment horizontal="center" vertical="center"/>
    </xf>
    <xf numFmtId="0" fontId="7" fillId="17" borderId="15" xfId="0" applyFont="1" applyFill="1" applyBorder="1" applyAlignment="1">
      <alignment horizontal="center" vertical="center"/>
    </xf>
    <xf numFmtId="0" fontId="8" fillId="17" borderId="13" xfId="0" applyFont="1" applyFill="1" applyBorder="1" applyAlignment="1">
      <alignment horizontal="center" vertical="center"/>
    </xf>
    <xf numFmtId="0" fontId="8" fillId="17" borderId="15" xfId="0" applyFont="1" applyFill="1" applyBorder="1" applyAlignment="1">
      <alignment horizontal="center" vertical="center"/>
    </xf>
    <xf numFmtId="0" fontId="7" fillId="17" borderId="1" xfId="0" applyFont="1" applyFill="1" applyBorder="1" applyAlignment="1">
      <alignment horizontal="left" vertical="center"/>
    </xf>
    <xf numFmtId="0" fontId="16" fillId="0" borderId="4" xfId="0" quotePrefix="1" applyFont="1" applyBorder="1" applyAlignment="1">
      <alignment horizontal="left" vertical="center"/>
    </xf>
    <xf numFmtId="0" fontId="16" fillId="0" borderId="5" xfId="0" quotePrefix="1" applyFont="1" applyBorder="1" applyAlignment="1">
      <alignment horizontal="left" vertical="center"/>
    </xf>
    <xf numFmtId="0" fontId="16" fillId="0" borderId="6" xfId="0" quotePrefix="1" applyFont="1" applyBorder="1" applyAlignment="1">
      <alignment horizontal="left"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16" fillId="0" borderId="13" xfId="0" quotePrefix="1" applyFont="1" applyBorder="1" applyAlignment="1">
      <alignment horizontal="left" vertical="center"/>
    </xf>
    <xf numFmtId="0" fontId="16" fillId="0" borderId="14" xfId="0" quotePrefix="1" applyFont="1" applyBorder="1" applyAlignment="1">
      <alignment horizontal="left" vertical="center"/>
    </xf>
    <xf numFmtId="0" fontId="16" fillId="0" borderId="15" xfId="0" quotePrefix="1" applyFont="1" applyBorder="1" applyAlignment="1">
      <alignment horizontal="left" vertical="center"/>
    </xf>
    <xf numFmtId="0" fontId="7" fillId="17" borderId="13" xfId="0" applyFont="1" applyFill="1" applyBorder="1" applyAlignment="1">
      <alignment horizontal="center" vertical="center" shrinkToFit="1"/>
    </xf>
    <xf numFmtId="0" fontId="7" fillId="17" borderId="14" xfId="0" applyFont="1" applyFill="1" applyBorder="1" applyAlignment="1">
      <alignment horizontal="center" vertical="center" shrinkToFit="1"/>
    </xf>
    <xf numFmtId="0" fontId="7" fillId="17" borderId="15" xfId="0" applyFont="1" applyFill="1" applyBorder="1" applyAlignment="1">
      <alignment horizontal="center" vertical="center" shrinkToFit="1"/>
    </xf>
    <xf numFmtId="0" fontId="26" fillId="0" borderId="7" xfId="0" applyFont="1" applyBorder="1" applyAlignment="1">
      <alignment horizontal="left"/>
    </xf>
    <xf numFmtId="0" fontId="9" fillId="0" borderId="0" xfId="0" applyFont="1" applyBorder="1" applyAlignment="1">
      <alignment horizontal="left"/>
    </xf>
    <xf numFmtId="0" fontId="9" fillId="0" borderId="8" xfId="0" applyFont="1" applyBorder="1" applyAlignment="1">
      <alignment horizontal="left"/>
    </xf>
    <xf numFmtId="0" fontId="67" fillId="0" borderId="7" xfId="0" applyFont="1" applyBorder="1" applyAlignment="1">
      <alignment horizontal="center" vertical="center"/>
    </xf>
    <xf numFmtId="0" fontId="53" fillId="0" borderId="0" xfId="0" applyFont="1" applyBorder="1" applyAlignment="1">
      <alignment horizontal="center" vertical="center"/>
    </xf>
    <xf numFmtId="0" fontId="53" fillId="0" borderId="8" xfId="0" applyFont="1" applyBorder="1" applyAlignment="1">
      <alignment horizontal="center" vertical="center"/>
    </xf>
    <xf numFmtId="0" fontId="41" fillId="0" borderId="0" xfId="0" applyFont="1" applyAlignment="1">
      <alignment horizontal="left" vertical="center"/>
    </xf>
    <xf numFmtId="0" fontId="16" fillId="0" borderId="7" xfId="0" quotePrefix="1" applyFont="1" applyBorder="1" applyAlignment="1">
      <alignment horizontal="left" vertical="center"/>
    </xf>
    <xf numFmtId="0" fontId="17" fillId="0" borderId="7"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2" fillId="13" borderId="13" xfId="0" applyFont="1" applyFill="1" applyBorder="1" applyAlignment="1">
      <alignment horizontal="center" vertical="center"/>
    </xf>
    <xf numFmtId="0" fontId="22" fillId="13" borderId="15" xfId="0" applyFont="1" applyFill="1" applyBorder="1" applyAlignment="1">
      <alignment horizontal="center" vertical="center"/>
    </xf>
    <xf numFmtId="0" fontId="13" fillId="0" borderId="4" xfId="0" applyFont="1" applyBorder="1" applyAlignment="1">
      <alignment horizontal="left" vertical="center"/>
    </xf>
    <xf numFmtId="0" fontId="28"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22" fillId="13" borderId="13" xfId="0" applyFont="1" applyFill="1" applyBorder="1" applyAlignment="1">
      <alignment horizontal="center" vertical="center" shrinkToFit="1"/>
    </xf>
    <xf numFmtId="0" fontId="22" fillId="13" borderId="15" xfId="0" applyFont="1" applyFill="1" applyBorder="1" applyAlignment="1">
      <alignment horizontal="center" vertical="center" shrinkToFit="1"/>
    </xf>
    <xf numFmtId="0" fontId="13" fillId="0" borderId="0" xfId="0" applyFont="1" applyAlignment="1">
      <alignment horizontal="left" vertical="center" wrapText="1"/>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21" fillId="0" borderId="7" xfId="0" applyFont="1" applyBorder="1" applyAlignment="1">
      <alignment horizontal="left" vertical="center"/>
    </xf>
    <xf numFmtId="0" fontId="21" fillId="0" borderId="0" xfId="0" applyFont="1" applyBorder="1" applyAlignment="1">
      <alignment horizontal="left" vertical="center"/>
    </xf>
    <xf numFmtId="0" fontId="21" fillId="0" borderId="8" xfId="0" applyFont="1" applyBorder="1" applyAlignment="1">
      <alignment horizontal="left" vertical="center"/>
    </xf>
    <xf numFmtId="0" fontId="49" fillId="0" borderId="7" xfId="0" applyFont="1" applyBorder="1" applyAlignment="1">
      <alignment horizontal="center" vertical="center"/>
    </xf>
    <xf numFmtId="0" fontId="49" fillId="0" borderId="0" xfId="0" applyFont="1" applyBorder="1" applyAlignment="1">
      <alignment horizontal="center" vertical="center"/>
    </xf>
    <xf numFmtId="0" fontId="49" fillId="0" borderId="8" xfId="0" applyFont="1" applyBorder="1" applyAlignment="1">
      <alignment horizontal="center" vertical="center"/>
    </xf>
    <xf numFmtId="0" fontId="0" fillId="0" borderId="7" xfId="0" quotePrefix="1" applyBorder="1" applyAlignment="1">
      <alignment horizontal="left" vertical="center"/>
    </xf>
    <xf numFmtId="0" fontId="69" fillId="18" borderId="13" xfId="0" applyFont="1" applyFill="1" applyBorder="1" applyAlignment="1">
      <alignment horizontal="left" vertical="center"/>
    </xf>
    <xf numFmtId="0" fontId="70" fillId="18" borderId="14" xfId="0" applyFont="1" applyFill="1" applyBorder="1" applyAlignment="1">
      <alignment horizontal="left" vertical="center"/>
    </xf>
    <xf numFmtId="0" fontId="70" fillId="18" borderId="15" xfId="0" applyFont="1" applyFill="1" applyBorder="1" applyAlignment="1">
      <alignment horizontal="left" vertical="center"/>
    </xf>
    <xf numFmtId="0" fontId="47" fillId="0" borderId="9" xfId="0" applyFont="1" applyBorder="1" applyAlignment="1">
      <alignment horizontal="left" vertical="center"/>
    </xf>
    <xf numFmtId="0" fontId="47" fillId="0" borderId="10" xfId="0" applyFont="1" applyBorder="1" applyAlignment="1">
      <alignment horizontal="left" vertical="center"/>
    </xf>
    <xf numFmtId="0" fontId="47" fillId="0" borderId="11" xfId="0" applyFont="1" applyBorder="1" applyAlignment="1">
      <alignment horizontal="left" vertical="center"/>
    </xf>
    <xf numFmtId="0" fontId="48" fillId="0" borderId="9" xfId="0" applyFont="1" applyBorder="1" applyAlignment="1">
      <alignment horizontal="center" vertical="center"/>
    </xf>
    <xf numFmtId="0" fontId="48" fillId="0" borderId="10" xfId="0" applyFont="1" applyBorder="1" applyAlignment="1">
      <alignment horizontal="center" vertical="center"/>
    </xf>
    <xf numFmtId="0" fontId="48" fillId="0" borderId="11" xfId="0" applyFont="1" applyBorder="1" applyAlignment="1">
      <alignment horizontal="center" vertical="center"/>
    </xf>
    <xf numFmtId="0" fontId="44" fillId="0" borderId="0" xfId="0" applyFont="1" applyBorder="1" applyAlignment="1">
      <alignment horizontal="left" vertical="center"/>
    </xf>
  </cellXfs>
  <cellStyles count="8">
    <cellStyle name="標準" xfId="0" builtinId="0"/>
    <cellStyle name="標準 2" xfId="2"/>
    <cellStyle name="標準 3" xfId="1"/>
    <cellStyle name="標準 4" xfId="3"/>
    <cellStyle name="標準 5" xfId="4"/>
    <cellStyle name="標準 6" xfId="5"/>
    <cellStyle name="標準 8" xfId="7"/>
    <cellStyle name="標準 9" xfId="6"/>
  </cellStyles>
  <dxfs count="0"/>
  <tableStyles count="0" defaultTableStyle="TableStyleMedium2" defaultPivotStyle="PivotStyleLight16"/>
  <colors>
    <mruColors>
      <color rgb="FFA61D02"/>
      <color rgb="FF006699"/>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G1"/>
    </sheetView>
  </sheetViews>
  <sheetFormatPr defaultRowHeight="13.5"/>
  <cols>
    <col min="1" max="6" width="9" style="173"/>
    <col min="7" max="7" width="33.75" style="173" customWidth="1"/>
    <col min="8" max="16384" width="9" style="173"/>
  </cols>
  <sheetData>
    <row r="1" spans="1:11" ht="18.75" customHeight="1">
      <c r="A1" s="372" t="s">
        <v>314</v>
      </c>
      <c r="B1" s="372"/>
      <c r="C1" s="372"/>
      <c r="D1" s="372"/>
      <c r="E1" s="372"/>
      <c r="F1" s="372"/>
      <c r="G1" s="372"/>
    </row>
    <row r="2" spans="1:11" ht="9" customHeight="1" thickBot="1">
      <c r="A2" s="373"/>
      <c r="B2" s="373"/>
      <c r="C2" s="373"/>
      <c r="D2" s="373"/>
      <c r="E2" s="373"/>
      <c r="F2" s="373"/>
      <c r="G2" s="373"/>
    </row>
    <row r="3" spans="1:11">
      <c r="A3" s="364" t="s">
        <v>305</v>
      </c>
      <c r="B3" s="365"/>
      <c r="C3" s="365"/>
      <c r="D3" s="365"/>
      <c r="E3" s="365"/>
      <c r="F3" s="365"/>
      <c r="G3" s="366"/>
    </row>
    <row r="4" spans="1:11" ht="7.5" customHeight="1">
      <c r="A4" s="367"/>
      <c r="B4" s="368"/>
      <c r="C4" s="368"/>
      <c r="D4" s="368"/>
      <c r="E4" s="368"/>
      <c r="F4" s="368"/>
      <c r="G4" s="369"/>
    </row>
    <row r="5" spans="1:11" ht="14.25">
      <c r="A5" s="361" t="s">
        <v>297</v>
      </c>
      <c r="B5" s="362"/>
      <c r="C5" s="362"/>
      <c r="D5" s="362"/>
      <c r="E5" s="362"/>
      <c r="F5" s="362"/>
      <c r="G5" s="363"/>
    </row>
    <row r="6" spans="1:11">
      <c r="A6" s="358" t="s">
        <v>139</v>
      </c>
      <c r="B6" s="359"/>
      <c r="C6" s="359"/>
      <c r="D6" s="359"/>
      <c r="E6" s="359"/>
      <c r="F6" s="359"/>
      <c r="G6" s="360"/>
    </row>
    <row r="7" spans="1:11">
      <c r="A7" s="367" t="s">
        <v>140</v>
      </c>
      <c r="B7" s="368"/>
      <c r="C7" s="368"/>
      <c r="D7" s="368"/>
      <c r="E7" s="368"/>
      <c r="F7" s="368"/>
      <c r="G7" s="369"/>
    </row>
    <row r="8" spans="1:11">
      <c r="A8" s="367" t="s">
        <v>141</v>
      </c>
      <c r="B8" s="368"/>
      <c r="C8" s="368"/>
      <c r="D8" s="368"/>
      <c r="E8" s="368"/>
      <c r="F8" s="368"/>
      <c r="G8" s="369"/>
    </row>
    <row r="9" spans="1:11" s="205" customFormat="1" ht="14.25" customHeight="1">
      <c r="A9" s="361" t="s">
        <v>298</v>
      </c>
      <c r="B9" s="362"/>
      <c r="C9" s="362"/>
      <c r="D9" s="362"/>
      <c r="E9" s="362"/>
      <c r="F9" s="362"/>
      <c r="G9" s="363"/>
      <c r="H9" s="204"/>
      <c r="I9" s="204"/>
      <c r="J9" s="204"/>
      <c r="K9" s="204"/>
    </row>
    <row r="10" spans="1:11" s="205" customFormat="1" ht="14.25" customHeight="1">
      <c r="A10" s="358" t="s">
        <v>302</v>
      </c>
      <c r="B10" s="359"/>
      <c r="C10" s="359"/>
      <c r="D10" s="359"/>
      <c r="E10" s="359"/>
      <c r="F10" s="359"/>
      <c r="G10" s="360"/>
      <c r="H10" s="204"/>
      <c r="I10" s="204"/>
      <c r="J10" s="204"/>
      <c r="K10" s="204"/>
    </row>
    <row r="11" spans="1:11" s="205" customFormat="1" ht="14.25" customHeight="1">
      <c r="A11" s="358" t="s">
        <v>142</v>
      </c>
      <c r="B11" s="359"/>
      <c r="C11" s="359"/>
      <c r="D11" s="359"/>
      <c r="E11" s="359"/>
      <c r="F11" s="359"/>
      <c r="G11" s="360"/>
      <c r="H11" s="204"/>
      <c r="I11" s="204"/>
      <c r="J11" s="204"/>
      <c r="K11" s="204"/>
    </row>
    <row r="12" spans="1:11" s="205" customFormat="1" ht="14.25" customHeight="1">
      <c r="A12" s="358" t="s">
        <v>303</v>
      </c>
      <c r="B12" s="359"/>
      <c r="C12" s="359"/>
      <c r="D12" s="359"/>
      <c r="E12" s="359"/>
      <c r="F12" s="359"/>
      <c r="G12" s="360"/>
      <c r="H12" s="204"/>
      <c r="I12" s="204"/>
      <c r="J12" s="204"/>
      <c r="K12" s="204"/>
    </row>
    <row r="13" spans="1:11" s="205" customFormat="1" ht="14.25" customHeight="1">
      <c r="A13" s="358" t="s">
        <v>143</v>
      </c>
      <c r="B13" s="359"/>
      <c r="C13" s="359"/>
      <c r="D13" s="359"/>
      <c r="E13" s="359"/>
      <c r="F13" s="359"/>
      <c r="G13" s="360"/>
      <c r="H13" s="204"/>
      <c r="I13" s="204"/>
      <c r="J13" s="204"/>
      <c r="K13" s="204"/>
    </row>
    <row r="14" spans="1:11" ht="14.25">
      <c r="A14" s="361" t="s">
        <v>215</v>
      </c>
      <c r="B14" s="362"/>
      <c r="C14" s="362"/>
      <c r="D14" s="362"/>
      <c r="E14" s="362"/>
      <c r="F14" s="362"/>
      <c r="G14" s="363"/>
    </row>
    <row r="15" spans="1:11">
      <c r="A15" s="367" t="s">
        <v>216</v>
      </c>
      <c r="B15" s="368"/>
      <c r="C15" s="368"/>
      <c r="D15" s="368"/>
      <c r="E15" s="368"/>
      <c r="F15" s="368"/>
      <c r="G15" s="369"/>
    </row>
    <row r="16" spans="1:11">
      <c r="A16" s="367" t="s">
        <v>217</v>
      </c>
      <c r="B16" s="368"/>
      <c r="C16" s="368"/>
      <c r="D16" s="368"/>
      <c r="E16" s="368"/>
      <c r="F16" s="368"/>
      <c r="G16" s="369"/>
    </row>
    <row r="17" spans="1:11" ht="7.5" customHeight="1" thickBot="1">
      <c r="A17" s="378"/>
      <c r="B17" s="379"/>
      <c r="C17" s="379"/>
      <c r="D17" s="379"/>
      <c r="E17" s="379"/>
      <c r="F17" s="379"/>
      <c r="G17" s="380"/>
    </row>
    <row r="18" spans="1:11" ht="9" customHeight="1" thickBot="1">
      <c r="A18" s="377"/>
      <c r="B18" s="377"/>
      <c r="C18" s="377"/>
      <c r="D18" s="377"/>
      <c r="E18" s="377"/>
      <c r="F18" s="377"/>
      <c r="G18" s="377"/>
    </row>
    <row r="19" spans="1:11">
      <c r="A19" s="364" t="s">
        <v>544</v>
      </c>
      <c r="B19" s="365"/>
      <c r="C19" s="365"/>
      <c r="D19" s="365"/>
      <c r="E19" s="365"/>
      <c r="F19" s="365"/>
      <c r="G19" s="366"/>
    </row>
    <row r="20" spans="1:11" ht="7.5" customHeight="1">
      <c r="A20" s="367"/>
      <c r="B20" s="368"/>
      <c r="C20" s="368"/>
      <c r="D20" s="368"/>
      <c r="E20" s="368"/>
      <c r="F20" s="368"/>
      <c r="G20" s="369"/>
    </row>
    <row r="21" spans="1:11" s="205" customFormat="1" ht="14.25" customHeight="1">
      <c r="A21" s="361" t="s">
        <v>220</v>
      </c>
      <c r="B21" s="362"/>
      <c r="C21" s="362"/>
      <c r="D21" s="362"/>
      <c r="E21" s="362"/>
      <c r="F21" s="362"/>
      <c r="G21" s="363"/>
      <c r="H21" s="204"/>
    </row>
    <row r="22" spans="1:11" s="205" customFormat="1" ht="13.5" customHeight="1">
      <c r="A22" s="358" t="s">
        <v>221</v>
      </c>
      <c r="B22" s="359"/>
      <c r="C22" s="359"/>
      <c r="D22" s="359"/>
      <c r="E22" s="359"/>
      <c r="F22" s="359"/>
      <c r="G22" s="360"/>
      <c r="H22" s="204"/>
      <c r="I22" s="204"/>
      <c r="J22" s="204"/>
      <c r="K22" s="204"/>
    </row>
    <row r="23" spans="1:11" s="205" customFormat="1" ht="13.5" customHeight="1">
      <c r="A23" s="358" t="s">
        <v>304</v>
      </c>
      <c r="B23" s="359"/>
      <c r="C23" s="359"/>
      <c r="D23" s="359"/>
      <c r="E23" s="359"/>
      <c r="F23" s="359"/>
      <c r="G23" s="360"/>
      <c r="H23" s="204"/>
      <c r="I23" s="204"/>
      <c r="J23" s="204"/>
      <c r="K23" s="204"/>
    </row>
    <row r="24" spans="1:11" ht="14.25">
      <c r="A24" s="361" t="s">
        <v>535</v>
      </c>
      <c r="B24" s="362"/>
      <c r="C24" s="362"/>
      <c r="D24" s="362"/>
      <c r="E24" s="362"/>
      <c r="F24" s="362"/>
      <c r="G24" s="363"/>
    </row>
    <row r="25" spans="1:11">
      <c r="A25" s="358" t="s">
        <v>264</v>
      </c>
      <c r="B25" s="359"/>
      <c r="C25" s="359"/>
      <c r="D25" s="359"/>
      <c r="E25" s="359"/>
      <c r="F25" s="359"/>
      <c r="G25" s="360"/>
    </row>
    <row r="26" spans="1:11">
      <c r="A26" s="367" t="s">
        <v>265</v>
      </c>
      <c r="B26" s="368"/>
      <c r="C26" s="368"/>
      <c r="D26" s="368"/>
      <c r="E26" s="368"/>
      <c r="F26" s="368"/>
      <c r="G26" s="369"/>
    </row>
    <row r="27" spans="1:11" ht="14.25">
      <c r="A27" s="361" t="s">
        <v>213</v>
      </c>
      <c r="B27" s="362"/>
      <c r="C27" s="362"/>
      <c r="D27" s="362"/>
      <c r="E27" s="362"/>
      <c r="F27" s="362"/>
      <c r="G27" s="363"/>
    </row>
    <row r="28" spans="1:11">
      <c r="A28" s="367" t="s">
        <v>214</v>
      </c>
      <c r="B28" s="368"/>
      <c r="C28" s="368"/>
      <c r="D28" s="368"/>
      <c r="E28" s="368"/>
      <c r="F28" s="368"/>
      <c r="G28" s="369"/>
    </row>
    <row r="29" spans="1:11">
      <c r="A29" s="367" t="s">
        <v>363</v>
      </c>
      <c r="B29" s="368"/>
      <c r="C29" s="368"/>
      <c r="D29" s="368"/>
      <c r="E29" s="368"/>
      <c r="F29" s="368"/>
      <c r="G29" s="369"/>
    </row>
    <row r="30" spans="1:11">
      <c r="A30" s="367" t="s">
        <v>364</v>
      </c>
      <c r="B30" s="368"/>
      <c r="C30" s="368"/>
      <c r="D30" s="368"/>
      <c r="E30" s="368"/>
      <c r="F30" s="368"/>
      <c r="G30" s="369"/>
    </row>
    <row r="31" spans="1:11" ht="7.5" customHeight="1" thickBot="1">
      <c r="A31" s="374"/>
      <c r="B31" s="375"/>
      <c r="C31" s="375"/>
      <c r="D31" s="375"/>
      <c r="E31" s="375"/>
      <c r="F31" s="375"/>
      <c r="G31" s="376"/>
    </row>
    <row r="32" spans="1:11" s="205" customFormat="1" ht="9" customHeight="1" thickBot="1">
      <c r="A32" s="373"/>
      <c r="B32" s="373"/>
      <c r="C32" s="373"/>
      <c r="D32" s="373"/>
      <c r="E32" s="373"/>
      <c r="F32" s="373"/>
      <c r="G32" s="373"/>
      <c r="H32" s="204"/>
      <c r="I32" s="204"/>
      <c r="J32" s="204"/>
      <c r="K32" s="204"/>
    </row>
    <row r="33" spans="1:11">
      <c r="A33" s="364" t="s">
        <v>534</v>
      </c>
      <c r="B33" s="365"/>
      <c r="C33" s="365"/>
      <c r="D33" s="365"/>
      <c r="E33" s="365"/>
      <c r="F33" s="365"/>
      <c r="G33" s="366"/>
    </row>
    <row r="34" spans="1:11" ht="7.5" customHeight="1">
      <c r="A34" s="367"/>
      <c r="B34" s="368"/>
      <c r="C34" s="368"/>
      <c r="D34" s="368"/>
      <c r="E34" s="368"/>
      <c r="F34" s="368"/>
      <c r="G34" s="369"/>
    </row>
    <row r="35" spans="1:11" s="205" customFormat="1" ht="14.25" customHeight="1">
      <c r="A35" s="361" t="s">
        <v>263</v>
      </c>
      <c r="B35" s="362"/>
      <c r="C35" s="362"/>
      <c r="D35" s="362"/>
      <c r="E35" s="362"/>
      <c r="F35" s="362"/>
      <c r="G35" s="363"/>
      <c r="H35" s="204"/>
    </row>
    <row r="36" spans="1:11" s="205" customFormat="1" ht="13.5" customHeight="1">
      <c r="A36" s="358" t="s">
        <v>542</v>
      </c>
      <c r="B36" s="359"/>
      <c r="C36" s="359"/>
      <c r="D36" s="359"/>
      <c r="E36" s="359"/>
      <c r="F36" s="359"/>
      <c r="G36" s="360"/>
      <c r="H36" s="204"/>
      <c r="I36" s="204"/>
      <c r="J36" s="204"/>
      <c r="K36" s="204"/>
    </row>
    <row r="37" spans="1:11" s="205" customFormat="1" ht="14.25" customHeight="1">
      <c r="A37" s="361" t="s">
        <v>440</v>
      </c>
      <c r="B37" s="362"/>
      <c r="C37" s="362"/>
      <c r="D37" s="362"/>
      <c r="E37" s="362"/>
      <c r="F37" s="362"/>
      <c r="G37" s="363"/>
      <c r="H37" s="204"/>
    </row>
    <row r="38" spans="1:11" s="205" customFormat="1" ht="14.25" customHeight="1">
      <c r="A38" s="358" t="s">
        <v>441</v>
      </c>
      <c r="B38" s="359"/>
      <c r="C38" s="359"/>
      <c r="D38" s="359"/>
      <c r="E38" s="359"/>
      <c r="F38" s="359"/>
      <c r="G38" s="360"/>
      <c r="H38" s="204"/>
      <c r="I38" s="204"/>
      <c r="J38" s="204"/>
      <c r="K38" s="204"/>
    </row>
    <row r="39" spans="1:11" s="205" customFormat="1" ht="14.25" customHeight="1">
      <c r="A39" s="358" t="s">
        <v>442</v>
      </c>
      <c r="B39" s="359"/>
      <c r="C39" s="359"/>
      <c r="D39" s="359"/>
      <c r="E39" s="359"/>
      <c r="F39" s="359"/>
      <c r="G39" s="360"/>
      <c r="H39" s="204"/>
      <c r="I39" s="204"/>
      <c r="J39" s="204"/>
      <c r="K39" s="204"/>
    </row>
    <row r="40" spans="1:11" ht="14.25" customHeight="1">
      <c r="A40" s="361" t="s">
        <v>591</v>
      </c>
      <c r="B40" s="362"/>
      <c r="C40" s="362"/>
      <c r="D40" s="362"/>
      <c r="E40" s="362"/>
      <c r="F40" s="362"/>
      <c r="G40" s="363"/>
      <c r="H40" s="91"/>
    </row>
    <row r="41" spans="1:11" ht="14.25" customHeight="1">
      <c r="A41" s="370" t="s">
        <v>595</v>
      </c>
      <c r="B41" s="359"/>
      <c r="C41" s="359"/>
      <c r="D41" s="359"/>
      <c r="E41" s="359"/>
      <c r="F41" s="359"/>
      <c r="G41" s="360"/>
      <c r="H41" s="91"/>
      <c r="I41" s="91"/>
      <c r="J41" s="91"/>
      <c r="K41" s="91"/>
    </row>
    <row r="42" spans="1:11" ht="14.25" customHeight="1">
      <c r="A42" s="371" t="s">
        <v>596</v>
      </c>
      <c r="B42" s="368"/>
      <c r="C42" s="368"/>
      <c r="D42" s="368"/>
      <c r="E42" s="368"/>
      <c r="F42" s="368"/>
      <c r="G42" s="369"/>
      <c r="H42" s="91"/>
      <c r="I42" s="91"/>
      <c r="J42" s="91"/>
      <c r="K42" s="91"/>
    </row>
    <row r="43" spans="1:11" ht="14.25" customHeight="1">
      <c r="A43" s="371" t="s">
        <v>597</v>
      </c>
      <c r="B43" s="368"/>
      <c r="C43" s="368"/>
      <c r="D43" s="368"/>
      <c r="E43" s="368"/>
      <c r="F43" s="368"/>
      <c r="G43" s="369"/>
      <c r="H43" s="91"/>
      <c r="I43" s="91"/>
      <c r="J43" s="91"/>
      <c r="K43" s="91"/>
    </row>
    <row r="44" spans="1:11" ht="7.5" customHeight="1" thickBot="1">
      <c r="A44" s="374"/>
      <c r="B44" s="375"/>
      <c r="C44" s="375"/>
      <c r="D44" s="375"/>
      <c r="E44" s="375"/>
      <c r="F44" s="375"/>
      <c r="G44" s="376"/>
    </row>
    <row r="45" spans="1:11" ht="9" customHeight="1" thickBot="1">
      <c r="A45" s="373"/>
      <c r="B45" s="373"/>
      <c r="C45" s="373"/>
      <c r="D45" s="373"/>
      <c r="E45" s="373"/>
      <c r="F45" s="373"/>
      <c r="G45" s="373"/>
    </row>
    <row r="46" spans="1:11">
      <c r="A46" s="364" t="s">
        <v>533</v>
      </c>
      <c r="B46" s="365"/>
      <c r="C46" s="365"/>
      <c r="D46" s="365"/>
      <c r="E46" s="365"/>
      <c r="F46" s="365"/>
      <c r="G46" s="366"/>
    </row>
    <row r="47" spans="1:11" ht="7.5" customHeight="1">
      <c r="A47" s="367"/>
      <c r="B47" s="368"/>
      <c r="C47" s="368"/>
      <c r="D47" s="368"/>
      <c r="E47" s="368"/>
      <c r="F47" s="368"/>
      <c r="G47" s="369"/>
    </row>
    <row r="48" spans="1:11" ht="14.25" customHeight="1">
      <c r="A48" s="361" t="s">
        <v>189</v>
      </c>
      <c r="B48" s="362"/>
      <c r="C48" s="362"/>
      <c r="D48" s="362"/>
      <c r="E48" s="362"/>
      <c r="F48" s="362"/>
      <c r="G48" s="363"/>
      <c r="H48" s="91"/>
    </row>
    <row r="49" spans="1:11" ht="14.25" customHeight="1">
      <c r="A49" s="358" t="s">
        <v>598</v>
      </c>
      <c r="B49" s="359"/>
      <c r="C49" s="359"/>
      <c r="D49" s="359"/>
      <c r="E49" s="359"/>
      <c r="F49" s="359"/>
      <c r="G49" s="360"/>
      <c r="H49" s="91"/>
      <c r="I49" s="91"/>
      <c r="J49" s="91"/>
      <c r="K49" s="91"/>
    </row>
    <row r="50" spans="1:11" s="203" customFormat="1" ht="14.25" customHeight="1">
      <c r="A50" s="361" t="s">
        <v>589</v>
      </c>
      <c r="B50" s="362"/>
      <c r="C50" s="362"/>
      <c r="D50" s="362"/>
      <c r="E50" s="362"/>
      <c r="F50" s="362"/>
      <c r="G50" s="363"/>
      <c r="H50" s="202"/>
    </row>
    <row r="51" spans="1:11" s="203" customFormat="1" ht="13.5" customHeight="1">
      <c r="A51" s="358" t="s">
        <v>211</v>
      </c>
      <c r="B51" s="359"/>
      <c r="C51" s="359"/>
      <c r="D51" s="359"/>
      <c r="E51" s="359"/>
      <c r="F51" s="359"/>
      <c r="G51" s="360"/>
      <c r="H51" s="202"/>
      <c r="I51" s="202"/>
      <c r="J51" s="202"/>
      <c r="K51" s="202"/>
    </row>
    <row r="52" spans="1:11" s="203" customFormat="1" ht="13.5" customHeight="1">
      <c r="A52" s="358" t="s">
        <v>317</v>
      </c>
      <c r="B52" s="359"/>
      <c r="C52" s="359"/>
      <c r="D52" s="359"/>
      <c r="E52" s="359"/>
      <c r="F52" s="359"/>
      <c r="G52" s="360"/>
      <c r="H52" s="202"/>
      <c r="I52" s="202"/>
      <c r="J52" s="202"/>
      <c r="K52" s="202"/>
    </row>
    <row r="53" spans="1:11" s="205" customFormat="1" ht="14.25" customHeight="1">
      <c r="A53" s="361" t="s">
        <v>532</v>
      </c>
      <c r="B53" s="362"/>
      <c r="C53" s="362"/>
      <c r="D53" s="362"/>
      <c r="E53" s="362"/>
      <c r="F53" s="362"/>
      <c r="G53" s="363"/>
      <c r="H53" s="204"/>
    </row>
    <row r="54" spans="1:11" s="205" customFormat="1" ht="13.5" customHeight="1">
      <c r="A54" s="358" t="s">
        <v>543</v>
      </c>
      <c r="B54" s="359"/>
      <c r="C54" s="359"/>
      <c r="D54" s="359"/>
      <c r="E54" s="359"/>
      <c r="F54" s="359"/>
      <c r="G54" s="360"/>
      <c r="H54" s="204"/>
      <c r="I54" s="204"/>
      <c r="J54" s="204"/>
      <c r="K54" s="204"/>
    </row>
    <row r="55" spans="1:11" s="205" customFormat="1" ht="13.5" customHeight="1">
      <c r="A55" s="358" t="s">
        <v>531</v>
      </c>
      <c r="B55" s="359"/>
      <c r="C55" s="359"/>
      <c r="D55" s="359"/>
      <c r="E55" s="359"/>
      <c r="F55" s="359"/>
      <c r="G55" s="360"/>
      <c r="H55" s="204"/>
      <c r="I55" s="204"/>
      <c r="J55" s="204"/>
      <c r="K55" s="204"/>
    </row>
    <row r="56" spans="1:11" ht="14.25">
      <c r="A56" s="361" t="s">
        <v>530</v>
      </c>
      <c r="B56" s="362"/>
      <c r="C56" s="362"/>
      <c r="D56" s="362"/>
      <c r="E56" s="362"/>
      <c r="F56" s="362"/>
      <c r="G56" s="363"/>
    </row>
    <row r="57" spans="1:11">
      <c r="A57" s="358" t="s">
        <v>529</v>
      </c>
      <c r="B57" s="359"/>
      <c r="C57" s="359"/>
      <c r="D57" s="359"/>
      <c r="E57" s="359"/>
      <c r="F57" s="359"/>
      <c r="G57" s="360"/>
    </row>
    <row r="58" spans="1:11" ht="14.25">
      <c r="A58" s="361" t="s">
        <v>510</v>
      </c>
      <c r="B58" s="362"/>
      <c r="C58" s="362"/>
      <c r="D58" s="362"/>
      <c r="E58" s="362"/>
      <c r="F58" s="362"/>
      <c r="G58" s="363"/>
    </row>
    <row r="59" spans="1:11">
      <c r="A59" s="358" t="s">
        <v>512</v>
      </c>
      <c r="B59" s="359"/>
      <c r="C59" s="359"/>
      <c r="D59" s="359"/>
      <c r="E59" s="359"/>
      <c r="F59" s="359"/>
      <c r="G59" s="360"/>
    </row>
    <row r="60" spans="1:11">
      <c r="A60" s="367" t="s">
        <v>511</v>
      </c>
      <c r="B60" s="368"/>
      <c r="C60" s="368"/>
      <c r="D60" s="368"/>
      <c r="E60" s="368"/>
      <c r="F60" s="368"/>
      <c r="G60" s="369"/>
    </row>
    <row r="61" spans="1:11" ht="7.5" customHeight="1" thickBot="1">
      <c r="A61" s="218"/>
      <c r="B61" s="219"/>
      <c r="C61" s="219"/>
      <c r="D61" s="219"/>
      <c r="E61" s="219"/>
      <c r="F61" s="219"/>
      <c r="G61" s="220"/>
    </row>
  </sheetData>
  <mergeCells count="60">
    <mergeCell ref="A10:G10"/>
    <mergeCell ref="A19:G19"/>
    <mergeCell ref="A27:G27"/>
    <mergeCell ref="A11:G11"/>
    <mergeCell ref="A12:G12"/>
    <mergeCell ref="A13:G13"/>
    <mergeCell ref="A16:G16"/>
    <mergeCell ref="A20:G20"/>
    <mergeCell ref="A34:G34"/>
    <mergeCell ref="A45:G45"/>
    <mergeCell ref="A23:G23"/>
    <mergeCell ref="A24:G24"/>
    <mergeCell ref="A25:G25"/>
    <mergeCell ref="A26:G26"/>
    <mergeCell ref="A28:G28"/>
    <mergeCell ref="A29:G29"/>
    <mergeCell ref="A30:G30"/>
    <mergeCell ref="A33:G33"/>
    <mergeCell ref="A44:G44"/>
    <mergeCell ref="A35:G35"/>
    <mergeCell ref="A32:G32"/>
    <mergeCell ref="A36:G36"/>
    <mergeCell ref="A37:G37"/>
    <mergeCell ref="A39:G39"/>
    <mergeCell ref="A1:G1"/>
    <mergeCell ref="A2:G2"/>
    <mergeCell ref="A3:G3"/>
    <mergeCell ref="A4:G4"/>
    <mergeCell ref="A31:G31"/>
    <mergeCell ref="A22:G22"/>
    <mergeCell ref="A18:G18"/>
    <mergeCell ref="A5:G5"/>
    <mergeCell ref="A6:G6"/>
    <mergeCell ref="A7:G7"/>
    <mergeCell ref="A8:G8"/>
    <mergeCell ref="A14:G14"/>
    <mergeCell ref="A21:G21"/>
    <mergeCell ref="A15:G15"/>
    <mergeCell ref="A17:G17"/>
    <mergeCell ref="A9:G9"/>
    <mergeCell ref="A60:G60"/>
    <mergeCell ref="A49:G49"/>
    <mergeCell ref="A52:G52"/>
    <mergeCell ref="A50:G50"/>
    <mergeCell ref="A58:G58"/>
    <mergeCell ref="A59:G59"/>
    <mergeCell ref="A57:G57"/>
    <mergeCell ref="A53:G53"/>
    <mergeCell ref="A54:G54"/>
    <mergeCell ref="A55:G55"/>
    <mergeCell ref="A56:G56"/>
    <mergeCell ref="A51:G51"/>
    <mergeCell ref="A38:G38"/>
    <mergeCell ref="A48:G48"/>
    <mergeCell ref="A46:G46"/>
    <mergeCell ref="A47:G47"/>
    <mergeCell ref="A41:G41"/>
    <mergeCell ref="A43:G43"/>
    <mergeCell ref="A40:G40"/>
    <mergeCell ref="A42:G42"/>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O52"/>
  <sheetViews>
    <sheetView zoomScaleNormal="100" workbookViewId="0">
      <selection activeCell="B2" sqref="B2:G2"/>
    </sheetView>
  </sheetViews>
  <sheetFormatPr defaultColWidth="9" defaultRowHeight="13.5"/>
  <cols>
    <col min="1" max="1" width="7.875" style="173" customWidth="1"/>
    <col min="2" max="2" width="8.5" style="173" customWidth="1"/>
    <col min="3" max="3" width="6.625" style="173" customWidth="1"/>
    <col min="4" max="4" width="15.75" style="17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73" customWidth="1"/>
    <col min="13" max="13" width="9.25" style="173" customWidth="1"/>
    <col min="14" max="14" width="12.375" style="173" customWidth="1"/>
    <col min="15" max="16384" width="9" style="173"/>
  </cols>
  <sheetData>
    <row r="1" spans="1:15" ht="21">
      <c r="A1" s="38" t="s">
        <v>114</v>
      </c>
      <c r="B1" s="545">
        <v>13</v>
      </c>
      <c r="C1" s="546"/>
      <c r="D1" s="39" t="s">
        <v>40</v>
      </c>
      <c r="E1" s="40" t="s">
        <v>111</v>
      </c>
      <c r="F1" s="531"/>
      <c r="G1" s="532"/>
      <c r="H1" s="96" t="s">
        <v>55</v>
      </c>
    </row>
    <row r="2" spans="1:15" ht="24.75" customHeight="1">
      <c r="A2" s="39" t="s">
        <v>0</v>
      </c>
      <c r="B2" s="533" t="s">
        <v>422</v>
      </c>
      <c r="C2" s="533"/>
      <c r="D2" s="533"/>
      <c r="E2" s="533"/>
      <c r="F2" s="533"/>
      <c r="G2" s="533"/>
      <c r="H2" s="96" t="s">
        <v>56</v>
      </c>
    </row>
    <row r="3" spans="1:15" ht="19.5" customHeight="1">
      <c r="A3" s="102" t="s">
        <v>48</v>
      </c>
      <c r="B3" s="91"/>
      <c r="C3" s="91"/>
      <c r="D3" s="91"/>
      <c r="I3" s="96"/>
    </row>
    <row r="4" spans="1:15">
      <c r="A4" s="76" t="s">
        <v>46</v>
      </c>
      <c r="B4" s="439" t="s">
        <v>419</v>
      </c>
      <c r="C4" s="440"/>
      <c r="D4" s="440"/>
      <c r="E4" s="440"/>
      <c r="F4" s="440"/>
      <c r="G4" s="441"/>
      <c r="H4" s="381" t="s">
        <v>201</v>
      </c>
      <c r="I4" s="382"/>
      <c r="J4" s="382"/>
      <c r="K4" s="382"/>
      <c r="L4" s="383"/>
    </row>
    <row r="5" spans="1:15">
      <c r="A5" s="77" t="s">
        <v>39</v>
      </c>
      <c r="B5" s="439" t="s">
        <v>420</v>
      </c>
      <c r="C5" s="440"/>
      <c r="D5" s="440"/>
      <c r="E5" s="440"/>
      <c r="F5" s="440"/>
      <c r="G5" s="441"/>
      <c r="H5" s="294" t="s">
        <v>43</v>
      </c>
      <c r="I5" s="295" t="s">
        <v>83</v>
      </c>
      <c r="J5" s="295">
        <v>10</v>
      </c>
    </row>
    <row r="6" spans="1:15">
      <c r="A6" s="77" t="s">
        <v>7</v>
      </c>
      <c r="B6" s="439" t="s">
        <v>5</v>
      </c>
      <c r="C6" s="440"/>
      <c r="D6" s="441"/>
      <c r="E6" s="294" t="s">
        <v>43</v>
      </c>
      <c r="F6" s="293" t="str">
        <f>$I$5</f>
        <v>遠隔範囲</v>
      </c>
      <c r="G6" s="293">
        <f>IF($J$5 = 0,"", $J$5)</f>
        <v>10</v>
      </c>
      <c r="H6" s="294" t="s">
        <v>66</v>
      </c>
      <c r="I6" s="295" t="s">
        <v>67</v>
      </c>
      <c r="J6" s="298" t="s">
        <v>271</v>
      </c>
    </row>
    <row r="7" spans="1:15">
      <c r="A7" s="78" t="s">
        <v>6</v>
      </c>
      <c r="B7" s="439" t="s">
        <v>91</v>
      </c>
      <c r="C7" s="440"/>
      <c r="D7" s="441"/>
      <c r="E7" s="294" t="s">
        <v>66</v>
      </c>
      <c r="F7" s="293" t="str">
        <f>IF($I$6 = 0,"", $I$6)</f>
        <v>爆発</v>
      </c>
      <c r="G7" s="159" t="str">
        <f>IF($J$6 = 0,"", $J$6)</f>
        <v>1 or 2</v>
      </c>
      <c r="H7" s="294" t="s">
        <v>85</v>
      </c>
      <c r="I7" s="310" t="s">
        <v>439</v>
      </c>
      <c r="J7" s="96" t="s">
        <v>62</v>
      </c>
      <c r="L7" s="191" t="s">
        <v>193</v>
      </c>
    </row>
    <row r="8" spans="1:15">
      <c r="A8" s="78" t="s">
        <v>8</v>
      </c>
      <c r="B8" s="439" t="s">
        <v>177</v>
      </c>
      <c r="C8" s="440"/>
      <c r="D8" s="440"/>
      <c r="E8" s="440"/>
      <c r="F8" s="440"/>
      <c r="G8" s="441"/>
      <c r="H8" s="294" t="s">
        <v>51</v>
      </c>
      <c r="I8" s="295" t="s">
        <v>17</v>
      </c>
      <c r="J8" s="293">
        <f>IF($I$8 = "筋力",基本!$C$5,IF($I$8 = "耐久力",基本!$C$6,IF($I$8 = "敏捷力",基本!$C$7,IF($I$8 = "知力",基本!$C$8,IF($I$8 = "判断力",基本!$C$9,IF($I$8 = "魅力",基本!$C$10,""))))))</f>
        <v>6</v>
      </c>
      <c r="K8" s="299" t="s">
        <v>20</v>
      </c>
      <c r="L8" s="192">
        <f>$J$8+$L$9+$I$9</f>
        <v>20</v>
      </c>
    </row>
    <row r="9" spans="1:15" ht="14.25" customHeight="1">
      <c r="A9" s="80" t="s">
        <v>9</v>
      </c>
      <c r="B9" s="444" t="s">
        <v>453</v>
      </c>
      <c r="C9" s="445"/>
      <c r="D9" s="445"/>
      <c r="E9" s="445"/>
      <c r="F9" s="445"/>
      <c r="G9" s="446"/>
      <c r="H9" s="294" t="s">
        <v>58</v>
      </c>
      <c r="I9" s="295">
        <v>0</v>
      </c>
      <c r="J9" s="381" t="s">
        <v>53</v>
      </c>
      <c r="K9" s="383"/>
      <c r="L9" s="293">
        <f>IF($I$7=基本!$F$4,基本!$O$7,IF($I$7=基本!$F$13,基本!$O$16,IF($I$7=基本!$F$22,基本!$O$25,IF($I$7=基本!$F$31,基本!$O$34,IF($I$7=基本!$F$40,基本!$O$43,0)))))</f>
        <v>14</v>
      </c>
    </row>
    <row r="10" spans="1:15" ht="14.25" customHeight="1">
      <c r="A10" s="80"/>
      <c r="B10" s="551" t="s">
        <v>452</v>
      </c>
      <c r="C10" s="518"/>
      <c r="D10" s="518"/>
      <c r="E10" s="518"/>
      <c r="F10" s="518"/>
      <c r="G10" s="519"/>
      <c r="H10" s="296" t="s">
        <v>52</v>
      </c>
      <c r="I10" s="295" t="s">
        <v>17</v>
      </c>
      <c r="J10" s="100">
        <f>IF($I$10 = "筋力",基本!$C$5,IF($I$10 = "耐久力",基本!$C$6,IF($I$10 = "敏捷力",基本!$C$7,IF($I$10 = "知力",基本!$C$8,IF($I$10 = "判断力",基本!$C$9,IF($I$10 = "魅力",基本!$C$10,""))))))</f>
        <v>6</v>
      </c>
      <c r="L10" s="91"/>
    </row>
    <row r="11" spans="1:15" ht="14.25" customHeight="1">
      <c r="A11" s="80"/>
      <c r="B11" s="481" t="s">
        <v>421</v>
      </c>
      <c r="C11" s="482"/>
      <c r="D11" s="482"/>
      <c r="E11" s="482"/>
      <c r="F11" s="482"/>
      <c r="G11" s="483"/>
      <c r="H11" s="294" t="s">
        <v>59</v>
      </c>
      <c r="I11" s="295">
        <v>0</v>
      </c>
      <c r="J11" s="381" t="s">
        <v>54</v>
      </c>
      <c r="K11" s="383"/>
      <c r="L11" s="293">
        <f>IF($I$7=基本!$F$4,基本!$O$9,IF($I$7=基本!$F$13,基本!$O$18,IF($I$7=基本!$F$22,基本!$O$27,IF($I$7=基本!$F$31,基本!$O$36,IF($I$7=基本!$F$40,基本!$O$45,0)))))</f>
        <v>24</v>
      </c>
    </row>
    <row r="12" spans="1:15">
      <c r="A12" s="80"/>
      <c r="B12" s="481" t="s">
        <v>614</v>
      </c>
      <c r="C12" s="482"/>
      <c r="D12" s="482"/>
      <c r="E12" s="482"/>
      <c r="F12" s="482"/>
      <c r="G12" s="483"/>
      <c r="L12" s="191" t="s">
        <v>193</v>
      </c>
    </row>
    <row r="13" spans="1:15" ht="13.5" customHeight="1">
      <c r="A13" s="80"/>
      <c r="B13" s="466" t="s">
        <v>615</v>
      </c>
      <c r="C13" s="359"/>
      <c r="D13" s="359"/>
      <c r="E13" s="359"/>
      <c r="F13" s="359"/>
      <c r="G13" s="467"/>
      <c r="H13" s="294" t="s">
        <v>86</v>
      </c>
      <c r="I13" s="295">
        <v>2</v>
      </c>
      <c r="J13" s="294" t="s">
        <v>44</v>
      </c>
      <c r="K13" s="295">
        <v>6</v>
      </c>
      <c r="L13" s="192">
        <f>$J$10+$L$11+$I$11</f>
        <v>30</v>
      </c>
      <c r="M13" s="105"/>
    </row>
    <row r="14" spans="1:15" ht="13.5" customHeight="1">
      <c r="A14" s="109"/>
      <c r="B14" s="466" t="s">
        <v>616</v>
      </c>
      <c r="C14" s="359"/>
      <c r="D14" s="359"/>
      <c r="E14" s="359"/>
      <c r="F14" s="359"/>
      <c r="G14" s="467"/>
      <c r="H14" s="294" t="s">
        <v>50</v>
      </c>
      <c r="I14" s="32">
        <f>IF($I$7=基本!$F$4,基本!$L$11,IF($I$7=基本!$F$13,基本!$L$20,IF($I$7=基本!$F$22,基本!$L$29,IF($I$7=基本!$F$31,基本!$L$38,IF($I$7=基本!$F$40,基本!$L$47,0)))))</f>
        <v>4</v>
      </c>
      <c r="J14" s="294" t="s">
        <v>44</v>
      </c>
      <c r="K14" s="32">
        <f>IF($I$7=基本!$F$4,基本!$N$11,IF($I$7=基本!$F$13,基本!$N$20,IF($I$7=基本!$F$22,基本!$N$29,IF($I$7=基本!$F$31,基本!$N$38,IF($I$7=基本!$F$40,基本!$N$47,0)))))</f>
        <v>6</v>
      </c>
      <c r="L14" s="192">
        <f>$J$10+$L$11+$I$11+($I$13*$K$13)</f>
        <v>42</v>
      </c>
      <c r="M14" s="105"/>
    </row>
    <row r="15" spans="1:15" ht="13.5" customHeight="1">
      <c r="A15" s="80"/>
      <c r="B15" s="466" t="s">
        <v>617</v>
      </c>
      <c r="C15" s="359"/>
      <c r="D15" s="359"/>
      <c r="E15" s="359"/>
      <c r="F15" s="359"/>
      <c r="G15" s="467"/>
      <c r="H15" s="294" t="s">
        <v>60</v>
      </c>
      <c r="I15" s="295" t="s">
        <v>80</v>
      </c>
      <c r="J15" s="294" t="s">
        <v>195</v>
      </c>
      <c r="K15" s="295" t="s">
        <v>17</v>
      </c>
      <c r="L15" s="293">
        <f>IF(K15="",0,VLOOKUP(K15,基本!$A$5:'基本'!$C$10,3,FALSE))</f>
        <v>6</v>
      </c>
    </row>
    <row r="16" spans="1:15" ht="7.5" customHeight="1">
      <c r="A16" s="80"/>
      <c r="B16" s="466"/>
      <c r="C16" s="359"/>
      <c r="D16" s="359"/>
      <c r="E16" s="359"/>
      <c r="F16" s="359"/>
      <c r="G16" s="467"/>
      <c r="H16"/>
      <c r="I16"/>
      <c r="J16"/>
      <c r="K16"/>
      <c r="L16"/>
      <c r="M16"/>
      <c r="N16"/>
      <c r="O16"/>
    </row>
    <row r="17" spans="1:15" ht="18.75" customHeight="1">
      <c r="A17" s="109"/>
      <c r="B17" s="499" t="s">
        <v>517</v>
      </c>
      <c r="C17" s="500"/>
      <c r="D17" s="500"/>
      <c r="E17" s="500"/>
      <c r="F17" s="500"/>
      <c r="G17" s="501"/>
      <c r="H17"/>
      <c r="I17"/>
      <c r="J17"/>
      <c r="K17"/>
      <c r="L17"/>
      <c r="M17"/>
      <c r="N17"/>
      <c r="O17"/>
    </row>
    <row r="18" spans="1:15" ht="4.5" customHeight="1">
      <c r="A18" s="81"/>
      <c r="B18" s="469"/>
      <c r="C18" s="468"/>
      <c r="D18" s="468"/>
      <c r="E18" s="468"/>
      <c r="F18" s="468"/>
      <c r="G18" s="470"/>
      <c r="H18" s="173"/>
      <c r="I18" s="173"/>
      <c r="J18" s="173"/>
      <c r="K18" s="173"/>
    </row>
    <row r="19" spans="1:15" ht="14.25" thickBot="1">
      <c r="A19" s="136" t="s">
        <v>47</v>
      </c>
      <c r="E19" s="92"/>
      <c r="H19" s="173"/>
      <c r="I19" s="173"/>
      <c r="J19" s="173"/>
      <c r="K19" s="173"/>
    </row>
    <row r="20" spans="1:15" ht="13.5" customHeight="1">
      <c r="A20" s="525" t="str">
        <f>$B$2</f>
        <v>プライモーディアル・ストーム</v>
      </c>
      <c r="B20" s="526"/>
      <c r="C20" s="527"/>
      <c r="D20" s="497" t="s">
        <v>2</v>
      </c>
      <c r="E20" s="498"/>
      <c r="F20" s="484" t="s">
        <v>272</v>
      </c>
      <c r="G20" s="485"/>
      <c r="H20" s="173"/>
      <c r="I20" s="173"/>
      <c r="J20" s="173"/>
      <c r="K20" s="173"/>
    </row>
    <row r="21" spans="1:15" ht="13.5" customHeight="1" thickBot="1">
      <c r="A21" s="528"/>
      <c r="B21" s="529"/>
      <c r="C21" s="530"/>
      <c r="D21" s="160" t="s">
        <v>2</v>
      </c>
      <c r="E21" s="215" t="s">
        <v>1</v>
      </c>
      <c r="F21" s="160" t="s">
        <v>2</v>
      </c>
      <c r="G21" s="214" t="s">
        <v>1</v>
      </c>
      <c r="H21" s="173"/>
      <c r="I21" s="173"/>
      <c r="J21" s="173"/>
      <c r="K21" s="173"/>
    </row>
    <row r="22" spans="1:15" ht="21" customHeight="1">
      <c r="A22" s="450" t="s">
        <v>42</v>
      </c>
      <c r="B22" s="225" t="s">
        <v>113</v>
      </c>
      <c r="C22" s="488" t="str">
        <f>$K$8</f>
        <v>反応</v>
      </c>
      <c r="D22" s="222" t="str">
        <f>$L$8 &amp; "+1d20"</f>
        <v>20+1d20</v>
      </c>
      <c r="E22" s="223" t="str">
        <f>$L$8+2 &amp; "+1d20"</f>
        <v>22+1d20</v>
      </c>
      <c r="F22" s="222" t="str">
        <f>$L$8 &amp; "+1d20"</f>
        <v>20+1d20</v>
      </c>
      <c r="G22" s="224" t="str">
        <f>$L$8+2 &amp; "+1d20"</f>
        <v>22+1d20</v>
      </c>
      <c r="H22" s="173"/>
      <c r="I22" s="173"/>
      <c r="J22" s="173"/>
      <c r="K22" s="173"/>
    </row>
    <row r="23" spans="1:15" ht="21" customHeight="1">
      <c r="A23" s="451"/>
      <c r="B23" s="319" t="s">
        <v>427</v>
      </c>
      <c r="C23" s="489"/>
      <c r="D23" s="313" t="str">
        <f>$L$8 -5&amp; "+1d20"</f>
        <v>15+1d20</v>
      </c>
      <c r="E23" s="314" t="str">
        <f>$L$8+2 -5&amp; "+1d20"</f>
        <v>17+1d20</v>
      </c>
      <c r="F23" s="313" t="str">
        <f>$L$8 -5&amp; "+1d20"</f>
        <v>15+1d20</v>
      </c>
      <c r="G23" s="315" t="str">
        <f>$L$8+2 -5&amp; "+1d20"</f>
        <v>17+1d20</v>
      </c>
      <c r="H23" s="173"/>
      <c r="I23" s="173"/>
      <c r="J23" s="173"/>
      <c r="K23" s="173"/>
    </row>
    <row r="24" spans="1:15" ht="21" customHeight="1">
      <c r="A24" s="451"/>
      <c r="B24" s="321" t="s">
        <v>365</v>
      </c>
      <c r="C24" s="489"/>
      <c r="D24" s="316" t="str">
        <f>3+$L$8 &amp; "+1d20"</f>
        <v>23+1d20</v>
      </c>
      <c r="E24" s="317" t="str">
        <f>3+$L$8+2 &amp; "+1d20"</f>
        <v>25+1d20</v>
      </c>
      <c r="F24" s="316" t="str">
        <f>3+$L$8 &amp; "+1d20"</f>
        <v>23+1d20</v>
      </c>
      <c r="G24" s="318" t="str">
        <f>3+$L$8+2 &amp; "+1d20"</f>
        <v>25+1d20</v>
      </c>
      <c r="H24" s="173"/>
      <c r="I24" s="173"/>
      <c r="J24" s="173"/>
      <c r="K24" s="173"/>
    </row>
    <row r="25" spans="1:15" ht="21" customHeight="1" thickBot="1">
      <c r="A25" s="452"/>
      <c r="B25" s="320" t="s">
        <v>428</v>
      </c>
      <c r="C25" s="490"/>
      <c r="D25" s="226" t="str">
        <f>3+$L$8 -5&amp; "+1d20"</f>
        <v>18+1d20</v>
      </c>
      <c r="E25" s="227" t="str">
        <f>3+$L$8+2 -5&amp; "+1d20"</f>
        <v>20+1d20</v>
      </c>
      <c r="F25" s="226" t="str">
        <f>3+$L$8 -5&amp; "+1d20"</f>
        <v>18+1d20</v>
      </c>
      <c r="G25" s="228" t="str">
        <f>3+$L$8+2 -5&amp; "+1d20"</f>
        <v>20+1d20</v>
      </c>
      <c r="H25" s="173"/>
      <c r="I25" s="173"/>
      <c r="J25" s="173"/>
      <c r="K25" s="173"/>
    </row>
    <row r="26" spans="1:15" ht="21" customHeight="1">
      <c r="A26" s="442" t="s">
        <v>513</v>
      </c>
      <c r="B26" s="107" t="s">
        <v>4</v>
      </c>
      <c r="C26" s="486" t="s">
        <v>605</v>
      </c>
      <c r="D26" s="111" t="str">
        <f>$L$13 &amp; "+" &amp; $I$13 &amp; "d" &amp; $K$13</f>
        <v>30+2d6</v>
      </c>
      <c r="E26" s="216" t="str">
        <f>$L$13 &amp; "+" &amp; $I$13 &amp; "d" &amp; $K$13</f>
        <v>30+2d6</v>
      </c>
      <c r="F26" s="111" t="str">
        <f>$L$13 &amp; "+" &amp; $I$13 &amp; "d" &amp; $K$13&amp;"+1d6"</f>
        <v>30+2d6+1d6</v>
      </c>
      <c r="G26" s="158" t="str">
        <f>$L$13 &amp; "+" &amp; $I$13 &amp; "d" &amp; $K$13&amp;"+1d6"</f>
        <v>30+2d6+1d6</v>
      </c>
      <c r="H26" s="173"/>
      <c r="I26" s="173"/>
      <c r="J26" s="173"/>
      <c r="K26" s="173"/>
    </row>
    <row r="27" spans="1:15" ht="21" customHeight="1" thickBot="1">
      <c r="A27" s="443"/>
      <c r="B27" s="104" t="s">
        <v>3</v>
      </c>
      <c r="C27" s="487"/>
      <c r="D27" s="106" t="str">
        <f>$L$14 &amp; IF($I$14 = 0,"","+" &amp; $I$14 &amp; "d" &amp; $K$14)</f>
        <v>42+4d6</v>
      </c>
      <c r="E27" s="217" t="str">
        <f>$L$14 &amp; IF($I$14 = 0,"","+" &amp; $I$14 &amp; "d" &amp; $K$14)</f>
        <v>42+4d6</v>
      </c>
      <c r="F27" s="106" t="str">
        <f>6+$L$14 &amp; IF($I$14 = 0,"","+" &amp; $I$14 &amp; "d" &amp; $K$14)</f>
        <v>48+4d6</v>
      </c>
      <c r="G27" s="103" t="str">
        <f>6+$L$14 &amp; IF($I$14 = 0,"","+" &amp; $I$14 &amp; "d" &amp; $K$14)</f>
        <v>48+4d6</v>
      </c>
      <c r="H27" s="173"/>
      <c r="I27" s="173"/>
      <c r="J27" s="173"/>
      <c r="K27" s="173"/>
    </row>
    <row r="28" spans="1:15" s="201" customFormat="1" ht="7.5" customHeight="1">
      <c r="A28" s="480"/>
      <c r="B28" s="480"/>
      <c r="C28" s="480"/>
      <c r="D28" s="480"/>
      <c r="E28" s="480"/>
      <c r="F28" s="480"/>
      <c r="G28" s="480"/>
      <c r="H28" s="200"/>
    </row>
    <row r="29" spans="1:15" ht="14.25">
      <c r="A29" s="362" t="s">
        <v>515</v>
      </c>
      <c r="B29" s="362"/>
      <c r="C29" s="362"/>
      <c r="D29" s="362"/>
      <c r="E29" s="362"/>
      <c r="F29" s="362"/>
      <c r="G29" s="362"/>
      <c r="I29" s="173"/>
      <c r="J29" s="173"/>
      <c r="K29" s="173"/>
    </row>
    <row r="30" spans="1:15" ht="14.25">
      <c r="A30" s="362" t="s">
        <v>299</v>
      </c>
      <c r="B30" s="362"/>
      <c r="C30" s="362"/>
      <c r="D30" s="362"/>
      <c r="E30" s="362"/>
      <c r="F30" s="362"/>
      <c r="G30" s="362"/>
      <c r="I30" s="173"/>
      <c r="J30" s="173"/>
      <c r="K30" s="173"/>
    </row>
    <row r="31" spans="1:15" s="205" customFormat="1" ht="14.25">
      <c r="A31" s="362" t="s">
        <v>298</v>
      </c>
      <c r="B31" s="362"/>
      <c r="C31" s="362"/>
      <c r="D31" s="362"/>
      <c r="E31" s="362"/>
      <c r="F31" s="362"/>
      <c r="G31" s="362"/>
      <c r="H31" s="204"/>
      <c r="I31" s="204"/>
      <c r="J31" s="204"/>
      <c r="K31" s="204"/>
    </row>
    <row r="32" spans="1:15" ht="14.25">
      <c r="A32" s="362" t="s">
        <v>590</v>
      </c>
      <c r="B32" s="362"/>
      <c r="C32" s="362"/>
      <c r="D32" s="362"/>
      <c r="E32" s="362"/>
      <c r="F32" s="362"/>
      <c r="G32" s="362"/>
      <c r="I32" s="173"/>
      <c r="J32" s="173"/>
      <c r="K32" s="173"/>
    </row>
    <row r="33" spans="1:13" s="203" customFormat="1" ht="14.25">
      <c r="A33" s="362" t="s">
        <v>263</v>
      </c>
      <c r="B33" s="362"/>
      <c r="C33" s="362"/>
      <c r="D33" s="362"/>
      <c r="E33" s="362"/>
      <c r="F33" s="362"/>
      <c r="G33" s="362"/>
      <c r="H33" s="202"/>
    </row>
    <row r="34" spans="1:13" s="205" customFormat="1" ht="14.25">
      <c r="A34" s="362" t="s">
        <v>220</v>
      </c>
      <c r="B34" s="362"/>
      <c r="C34" s="362"/>
      <c r="D34" s="362"/>
      <c r="E34" s="362"/>
      <c r="F34" s="362"/>
      <c r="G34" s="362"/>
      <c r="H34" s="204"/>
    </row>
    <row r="35" spans="1:13" ht="14.25">
      <c r="A35" s="362" t="s">
        <v>440</v>
      </c>
      <c r="B35" s="362"/>
      <c r="C35" s="362"/>
      <c r="D35" s="362"/>
      <c r="E35" s="362"/>
      <c r="F35" s="362"/>
      <c r="G35" s="362"/>
      <c r="I35" s="173"/>
      <c r="J35" s="173"/>
      <c r="K35" s="173"/>
    </row>
    <row r="36" spans="1:13" ht="14.25">
      <c r="A36" s="362" t="s">
        <v>366</v>
      </c>
      <c r="B36" s="362"/>
      <c r="C36" s="362"/>
      <c r="D36" s="362"/>
      <c r="E36" s="362"/>
      <c r="F36" s="362"/>
      <c r="G36" s="362"/>
      <c r="J36" s="173"/>
      <c r="K36" s="173"/>
    </row>
    <row r="37" spans="1:13" ht="14.25">
      <c r="A37" s="362" t="s">
        <v>215</v>
      </c>
      <c r="B37" s="362"/>
      <c r="C37" s="362"/>
      <c r="D37" s="362"/>
      <c r="E37" s="362"/>
      <c r="F37" s="362"/>
      <c r="G37" s="362"/>
      <c r="J37" s="173"/>
      <c r="K37" s="173"/>
    </row>
    <row r="38" spans="1:13">
      <c r="A38" s="377" t="s">
        <v>216</v>
      </c>
      <c r="B38" s="377"/>
      <c r="C38" s="377"/>
      <c r="D38" s="377"/>
      <c r="E38" s="377"/>
      <c r="F38" s="377"/>
      <c r="G38" s="377"/>
      <c r="I38" s="173"/>
    </row>
    <row r="39" spans="1:13">
      <c r="A39" s="377" t="s">
        <v>217</v>
      </c>
      <c r="B39" s="377"/>
      <c r="C39" s="377"/>
      <c r="D39" s="377"/>
      <c r="E39" s="377"/>
      <c r="F39" s="377"/>
      <c r="G39" s="377"/>
    </row>
    <row r="40" spans="1:13" ht="6.75" customHeight="1">
      <c r="A40" s="468"/>
      <c r="B40" s="468"/>
      <c r="C40" s="468"/>
      <c r="D40" s="468"/>
      <c r="E40" s="468"/>
      <c r="F40" s="468"/>
      <c r="G40" s="468"/>
    </row>
    <row r="41" spans="1:13">
      <c r="A41" s="473" t="s">
        <v>49</v>
      </c>
      <c r="B41" s="474"/>
      <c r="C41" s="474"/>
      <c r="D41" s="474"/>
      <c r="E41" s="474"/>
      <c r="F41" s="474"/>
      <c r="G41" s="475"/>
    </row>
    <row r="42" spans="1:13" s="91" customFormat="1" ht="15.75" customHeight="1">
      <c r="A42" s="447" t="s">
        <v>318</v>
      </c>
      <c r="B42" s="448"/>
      <c r="C42" s="448"/>
      <c r="D42" s="448"/>
      <c r="E42" s="448"/>
      <c r="F42" s="448"/>
      <c r="G42" s="449"/>
      <c r="L42" s="173"/>
    </row>
    <row r="43" spans="1:13" s="204" customFormat="1" ht="7.5" customHeight="1">
      <c r="A43" s="466"/>
      <c r="B43" s="359"/>
      <c r="C43" s="359"/>
      <c r="D43" s="359"/>
      <c r="E43" s="359"/>
      <c r="F43" s="359"/>
      <c r="G43" s="467"/>
      <c r="L43" s="205"/>
      <c r="M43" s="205"/>
    </row>
    <row r="44" spans="1:13" s="91" customFormat="1" ht="13.5" customHeight="1">
      <c r="A44" s="481" t="s">
        <v>550</v>
      </c>
      <c r="B44" s="482"/>
      <c r="C44" s="482"/>
      <c r="D44" s="482"/>
      <c r="E44" s="482"/>
      <c r="F44" s="482"/>
      <c r="G44" s="483"/>
      <c r="L44" s="173"/>
    </row>
    <row r="45" spans="1:13" s="91" customFormat="1" ht="13.5" customHeight="1">
      <c r="A45" s="464" t="s">
        <v>468</v>
      </c>
      <c r="B45" s="368"/>
      <c r="C45" s="368"/>
      <c r="D45" s="368"/>
      <c r="E45" s="368"/>
      <c r="F45" s="368"/>
      <c r="G45" s="465"/>
      <c r="L45" s="173"/>
    </row>
    <row r="46" spans="1:13" s="204" customFormat="1" ht="7.5" customHeight="1">
      <c r="A46" s="508"/>
      <c r="B46" s="509"/>
      <c r="C46" s="509"/>
      <c r="D46" s="509"/>
      <c r="E46" s="509"/>
      <c r="F46" s="509"/>
      <c r="G46" s="510"/>
      <c r="L46" s="205"/>
      <c r="M46" s="205"/>
    </row>
    <row r="47" spans="1:13" s="91" customFormat="1" ht="13.5" customHeight="1">
      <c r="A47" s="508" t="s">
        <v>183</v>
      </c>
      <c r="B47" s="509"/>
      <c r="C47" s="509"/>
      <c r="D47" s="509"/>
      <c r="E47" s="509"/>
      <c r="F47" s="509"/>
      <c r="G47" s="510"/>
      <c r="L47" s="173"/>
    </row>
    <row r="48" spans="1:13" s="91" customFormat="1" ht="13.5" customHeight="1">
      <c r="A48" s="464" t="s">
        <v>184</v>
      </c>
      <c r="B48" s="368"/>
      <c r="C48" s="368"/>
      <c r="D48" s="368"/>
      <c r="E48" s="368"/>
      <c r="F48" s="368"/>
      <c r="G48" s="465"/>
      <c r="L48" s="173"/>
    </row>
    <row r="49" spans="1:13" s="91" customFormat="1" ht="13.5" customHeight="1">
      <c r="A49" s="464" t="s">
        <v>312</v>
      </c>
      <c r="B49" s="368"/>
      <c r="C49" s="368"/>
      <c r="D49" s="368"/>
      <c r="E49" s="368"/>
      <c r="F49" s="368"/>
      <c r="G49" s="465"/>
      <c r="L49" s="173"/>
    </row>
    <row r="50" spans="1:13" s="91" customFormat="1" ht="13.5" customHeight="1">
      <c r="A50" s="464" t="s">
        <v>313</v>
      </c>
      <c r="B50" s="368"/>
      <c r="C50" s="368"/>
      <c r="D50" s="368"/>
      <c r="E50" s="368"/>
      <c r="F50" s="368"/>
      <c r="G50" s="465"/>
      <c r="L50" s="173"/>
    </row>
    <row r="51" spans="1:13" s="204" customFormat="1" ht="9" customHeight="1">
      <c r="A51" s="466"/>
      <c r="B51" s="359"/>
      <c r="C51" s="359"/>
      <c r="D51" s="359"/>
      <c r="E51" s="359"/>
      <c r="F51" s="359"/>
      <c r="G51" s="467"/>
      <c r="L51" s="205"/>
      <c r="M51" s="205"/>
    </row>
    <row r="52" spans="1:13" s="91" customFormat="1" ht="21">
      <c r="A52" s="35" t="s">
        <v>114</v>
      </c>
      <c r="B52" s="297">
        <f>$B$1</f>
        <v>13</v>
      </c>
      <c r="C52" s="36" t="s">
        <v>40</v>
      </c>
      <c r="D52" s="37" t="str">
        <f>$E$1</f>
        <v>遭遇毎</v>
      </c>
      <c r="E52" s="537" t="str">
        <f>$B$2</f>
        <v>プライモーディアル・ストーム</v>
      </c>
      <c r="F52" s="538"/>
      <c r="G52" s="539"/>
      <c r="L52" s="173"/>
    </row>
  </sheetData>
  <mergeCells count="53">
    <mergeCell ref="B13:G13"/>
    <mergeCell ref="B14:G14"/>
    <mergeCell ref="A26:A27"/>
    <mergeCell ref="A28:G28"/>
    <mergeCell ref="A29:G29"/>
    <mergeCell ref="C26:C27"/>
    <mergeCell ref="B15:G15"/>
    <mergeCell ref="B16:G16"/>
    <mergeCell ref="A20:C21"/>
    <mergeCell ref="D20:E20"/>
    <mergeCell ref="F20:G20"/>
    <mergeCell ref="B17:G17"/>
    <mergeCell ref="B18:G18"/>
    <mergeCell ref="J9:K9"/>
    <mergeCell ref="B10:G10"/>
    <mergeCell ref="B11:G11"/>
    <mergeCell ref="J11:K11"/>
    <mergeCell ref="B12:G12"/>
    <mergeCell ref="B1:C1"/>
    <mergeCell ref="F1:G1"/>
    <mergeCell ref="B2:G2"/>
    <mergeCell ref="B4:G4"/>
    <mergeCell ref="H4:L4"/>
    <mergeCell ref="B5:G5"/>
    <mergeCell ref="B6:D6"/>
    <mergeCell ref="B7:D7"/>
    <mergeCell ref="B8:G8"/>
    <mergeCell ref="B9:G9"/>
    <mergeCell ref="A30:G30"/>
    <mergeCell ref="A31:G31"/>
    <mergeCell ref="A32:G32"/>
    <mergeCell ref="A22:A25"/>
    <mergeCell ref="C22:C25"/>
    <mergeCell ref="A51:G51"/>
    <mergeCell ref="E52:G52"/>
    <mergeCell ref="A47:G47"/>
    <mergeCell ref="A48:G48"/>
    <mergeCell ref="A49:G49"/>
    <mergeCell ref="A50:G50"/>
    <mergeCell ref="A37:G37"/>
    <mergeCell ref="A33:G33"/>
    <mergeCell ref="A34:G34"/>
    <mergeCell ref="A35:G35"/>
    <mergeCell ref="A46:G46"/>
    <mergeCell ref="A44:G44"/>
    <mergeCell ref="A45:G45"/>
    <mergeCell ref="A40:G40"/>
    <mergeCell ref="A41:G41"/>
    <mergeCell ref="A43:G43"/>
    <mergeCell ref="A42:G42"/>
    <mergeCell ref="A38:G38"/>
    <mergeCell ref="A39:G39"/>
    <mergeCell ref="A36:G36"/>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1"/>
  <sheetViews>
    <sheetView zoomScaleNormal="100" workbookViewId="0">
      <selection activeCell="B2" sqref="B2:G2"/>
    </sheetView>
  </sheetViews>
  <sheetFormatPr defaultColWidth="9" defaultRowHeight="13.5"/>
  <cols>
    <col min="1" max="1" width="7.875" style="173" customWidth="1"/>
    <col min="2" max="2" width="8.5" style="173" customWidth="1"/>
    <col min="3" max="3" width="6.625" style="173" customWidth="1"/>
    <col min="4" max="4" width="15.75" style="17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73" customWidth="1"/>
    <col min="13" max="13" width="9.25" style="173" customWidth="1"/>
    <col min="14" max="14" width="12.375" style="173" customWidth="1"/>
    <col min="15" max="16384" width="9" style="173"/>
  </cols>
  <sheetData>
    <row r="1" spans="1:13" ht="21">
      <c r="A1" s="38" t="s">
        <v>114</v>
      </c>
      <c r="B1" s="545">
        <v>17</v>
      </c>
      <c r="C1" s="546"/>
      <c r="D1" s="39" t="s">
        <v>40</v>
      </c>
      <c r="E1" s="40" t="s">
        <v>111</v>
      </c>
      <c r="F1" s="531"/>
      <c r="G1" s="532"/>
      <c r="H1" s="96" t="s">
        <v>55</v>
      </c>
    </row>
    <row r="2" spans="1:13" ht="24.75" customHeight="1">
      <c r="A2" s="39" t="s">
        <v>0</v>
      </c>
      <c r="B2" s="533" t="s">
        <v>609</v>
      </c>
      <c r="C2" s="533"/>
      <c r="D2" s="533"/>
      <c r="E2" s="533"/>
      <c r="F2" s="533"/>
      <c r="G2" s="533"/>
      <c r="H2" s="96" t="s">
        <v>56</v>
      </c>
    </row>
    <row r="3" spans="1:13" ht="19.5" customHeight="1">
      <c r="A3" s="102" t="s">
        <v>48</v>
      </c>
      <c r="B3" s="91"/>
      <c r="C3" s="91"/>
      <c r="D3" s="91"/>
      <c r="I3" s="96"/>
    </row>
    <row r="4" spans="1:13">
      <c r="A4" s="76" t="s">
        <v>46</v>
      </c>
      <c r="B4" s="439" t="s">
        <v>607</v>
      </c>
      <c r="C4" s="440"/>
      <c r="D4" s="440"/>
      <c r="E4" s="440"/>
      <c r="F4" s="440"/>
      <c r="G4" s="441"/>
      <c r="H4" s="381" t="s">
        <v>201</v>
      </c>
      <c r="I4" s="382"/>
      <c r="J4" s="382"/>
      <c r="K4" s="382"/>
      <c r="L4" s="383"/>
    </row>
    <row r="5" spans="1:13">
      <c r="A5" s="77" t="s">
        <v>39</v>
      </c>
      <c r="B5" s="439" t="s">
        <v>608</v>
      </c>
      <c r="C5" s="440"/>
      <c r="D5" s="440"/>
      <c r="E5" s="440"/>
      <c r="F5" s="440"/>
      <c r="G5" s="441"/>
      <c r="H5" s="335" t="s">
        <v>43</v>
      </c>
      <c r="I5" s="336" t="s">
        <v>71</v>
      </c>
      <c r="J5" s="336">
        <v>10</v>
      </c>
    </row>
    <row r="6" spans="1:13">
      <c r="A6" s="77" t="s">
        <v>7</v>
      </c>
      <c r="B6" s="439" t="s">
        <v>5</v>
      </c>
      <c r="C6" s="440"/>
      <c r="D6" s="441"/>
      <c r="E6" s="335" t="s">
        <v>43</v>
      </c>
      <c r="F6" s="334" t="str">
        <f>$I$5</f>
        <v>遠隔</v>
      </c>
      <c r="G6" s="334">
        <f>IF($J$5 = 0,"", $J$5)</f>
        <v>10</v>
      </c>
      <c r="H6" s="335" t="s">
        <v>66</v>
      </c>
      <c r="I6" s="336"/>
      <c r="J6" s="336"/>
    </row>
    <row r="7" spans="1:13">
      <c r="A7" s="78" t="s">
        <v>6</v>
      </c>
      <c r="B7" s="554" t="s">
        <v>610</v>
      </c>
      <c r="C7" s="555"/>
      <c r="D7" s="556"/>
      <c r="E7" s="335" t="s">
        <v>66</v>
      </c>
      <c r="F7" s="334" t="str">
        <f>IF($I$6 = 0,"", $I$6)</f>
        <v/>
      </c>
      <c r="G7" s="334" t="str">
        <f>IF($J$6 = 0,"", $J$6)</f>
        <v/>
      </c>
      <c r="H7" s="335" t="s">
        <v>85</v>
      </c>
      <c r="I7" s="336" t="s">
        <v>437</v>
      </c>
      <c r="J7" s="96" t="s">
        <v>62</v>
      </c>
      <c r="L7" s="191" t="s">
        <v>193</v>
      </c>
    </row>
    <row r="8" spans="1:13">
      <c r="A8" s="78" t="s">
        <v>8</v>
      </c>
      <c r="B8" s="439" t="s">
        <v>231</v>
      </c>
      <c r="C8" s="440"/>
      <c r="D8" s="440"/>
      <c r="E8" s="440"/>
      <c r="F8" s="440"/>
      <c r="G8" s="441"/>
      <c r="H8" s="335" t="s">
        <v>51</v>
      </c>
      <c r="I8" s="336" t="s">
        <v>17</v>
      </c>
      <c r="J8" s="334">
        <f>IF($I$8 = "筋力",基本!$C$5,IF($I$8 = "耐久力",基本!$C$6,IF($I$8 = "敏捷力",基本!$C$7,IF($I$8 = "知力",基本!$C$8,IF($I$8 = "判断力",基本!$C$9,IF($I$8 = "魅力",基本!$C$10,""))))))</f>
        <v>6</v>
      </c>
      <c r="K8" s="339" t="s">
        <v>21</v>
      </c>
      <c r="L8" s="192">
        <f>$J$8+$L$9+$I$9</f>
        <v>20</v>
      </c>
    </row>
    <row r="9" spans="1:13" ht="14.25" customHeight="1">
      <c r="A9" s="80" t="s">
        <v>9</v>
      </c>
      <c r="B9" s="444" t="s">
        <v>611</v>
      </c>
      <c r="C9" s="445"/>
      <c r="D9" s="445"/>
      <c r="E9" s="445"/>
      <c r="F9" s="445"/>
      <c r="G9" s="446"/>
      <c r="H9" s="335" t="s">
        <v>58</v>
      </c>
      <c r="I9" s="336">
        <v>0</v>
      </c>
      <c r="J9" s="381" t="s">
        <v>53</v>
      </c>
      <c r="K9" s="383"/>
      <c r="L9" s="334">
        <f>IF($I$7=基本!$F$4,基本!$O$7,IF($I$7=基本!$F$13,基本!$O$16,IF($I$7=基本!$F$22,基本!$O$25,IF($I$7=基本!$F$31,基本!$O$34,IF($I$7=基本!$F$40,基本!$O$43,0)))))</f>
        <v>14</v>
      </c>
    </row>
    <row r="10" spans="1:13" ht="14.25" customHeight="1">
      <c r="A10" s="80"/>
      <c r="B10" s="551" t="s">
        <v>612</v>
      </c>
      <c r="C10" s="518"/>
      <c r="D10" s="518"/>
      <c r="E10" s="518"/>
      <c r="F10" s="518"/>
      <c r="G10" s="519"/>
      <c r="H10" s="337" t="s">
        <v>52</v>
      </c>
      <c r="I10" s="336" t="s">
        <v>17</v>
      </c>
      <c r="J10" s="100">
        <f>IF($I$10 = "筋力",基本!$C$5,IF($I$10 = "耐久力",基本!$C$6,IF($I$10 = "敏捷力",基本!$C$7,IF($I$10 = "知力",基本!$C$8,IF($I$10 = "判断力",基本!$C$9,IF($I$10 = "魅力",基本!$C$10,""))))))</f>
        <v>6</v>
      </c>
      <c r="L10" s="91"/>
    </row>
    <row r="11" spans="1:13" ht="14.25" customHeight="1">
      <c r="A11" s="80"/>
      <c r="B11" s="481" t="s">
        <v>421</v>
      </c>
      <c r="C11" s="482"/>
      <c r="D11" s="482"/>
      <c r="E11" s="482"/>
      <c r="F11" s="482"/>
      <c r="G11" s="483"/>
      <c r="H11" s="335" t="s">
        <v>59</v>
      </c>
      <c r="I11" s="336">
        <v>0</v>
      </c>
      <c r="J11" s="381" t="s">
        <v>54</v>
      </c>
      <c r="K11" s="383"/>
      <c r="L11" s="334">
        <f>IF($I$7=基本!$F$4,基本!$O$9,IF($I$7=基本!$F$13,基本!$O$18,IF($I$7=基本!$F$22,基本!$O$27,IF($I$7=基本!$F$31,基本!$O$36,IF($I$7=基本!$F$40,基本!$O$45,0)))))</f>
        <v>24</v>
      </c>
    </row>
    <row r="12" spans="1:13" ht="14.25" customHeight="1">
      <c r="A12" s="80"/>
      <c r="B12" s="552" t="s">
        <v>613</v>
      </c>
      <c r="C12" s="482"/>
      <c r="D12" s="482"/>
      <c r="E12" s="482"/>
      <c r="F12" s="482"/>
      <c r="G12" s="483"/>
      <c r="L12" s="191" t="s">
        <v>193</v>
      </c>
    </row>
    <row r="13" spans="1:13" ht="14.25" customHeight="1">
      <c r="A13" s="80"/>
      <c r="B13" s="553" t="s">
        <v>621</v>
      </c>
      <c r="C13" s="359"/>
      <c r="D13" s="359"/>
      <c r="E13" s="359"/>
      <c r="F13" s="359"/>
      <c r="G13" s="467"/>
      <c r="H13" s="335" t="s">
        <v>86</v>
      </c>
      <c r="I13" s="336">
        <v>3</v>
      </c>
      <c r="J13" s="335" t="s">
        <v>44</v>
      </c>
      <c r="K13" s="336">
        <v>8</v>
      </c>
      <c r="L13" s="192">
        <f>$J$10+$L$11+$I$11</f>
        <v>30</v>
      </c>
      <c r="M13" s="105"/>
    </row>
    <row r="14" spans="1:13" ht="14.25" customHeight="1">
      <c r="A14" s="109"/>
      <c r="B14" s="552" t="s">
        <v>622</v>
      </c>
      <c r="C14" s="482"/>
      <c r="D14" s="482"/>
      <c r="E14" s="482"/>
      <c r="F14" s="482"/>
      <c r="G14" s="483"/>
      <c r="H14" s="335" t="s">
        <v>50</v>
      </c>
      <c r="I14" s="32">
        <f>IF($I$7=基本!$F$4,基本!$L$11,IF($I$7=基本!$F$13,基本!$L$20,IF($I$7=基本!$F$22,基本!$L$29,IF($I$7=基本!$F$31,基本!$L$38,IF($I$7=基本!$F$40,基本!$L$47,0)))))</f>
        <v>4</v>
      </c>
      <c r="J14" s="335" t="s">
        <v>44</v>
      </c>
      <c r="K14" s="32">
        <f>IF($I$7=基本!$F$4,基本!$N$11,IF($I$7=基本!$F$13,基本!$N$20,IF($I$7=基本!$F$22,基本!$N$29,IF($I$7=基本!$F$31,基本!$N$38,IF($I$7=基本!$F$40,基本!$N$47,0)))))</f>
        <v>6</v>
      </c>
      <c r="L14" s="192">
        <f>$J$10+$L$11+$I$11+($I$13*$K$13)</f>
        <v>54</v>
      </c>
      <c r="M14" s="105"/>
    </row>
    <row r="15" spans="1:13" ht="7.5" customHeight="1">
      <c r="A15" s="80"/>
      <c r="B15" s="499"/>
      <c r="C15" s="500"/>
      <c r="D15" s="500"/>
      <c r="E15" s="500"/>
      <c r="F15" s="500"/>
      <c r="G15" s="501"/>
      <c r="H15" s="356" t="s">
        <v>60</v>
      </c>
      <c r="I15" s="357" t="s">
        <v>80</v>
      </c>
      <c r="J15" s="356" t="s">
        <v>195</v>
      </c>
      <c r="K15" s="357" t="s">
        <v>17</v>
      </c>
      <c r="L15" s="355">
        <f>IF(K15="",0,VLOOKUP(K15,基本!$A$5:'基本'!$C$10,3,FALSE))</f>
        <v>6</v>
      </c>
    </row>
    <row r="16" spans="1:13" ht="18.75" customHeight="1">
      <c r="A16" s="80"/>
      <c r="B16" s="499" t="s">
        <v>526</v>
      </c>
      <c r="C16" s="500"/>
      <c r="D16" s="500"/>
      <c r="E16" s="500"/>
      <c r="F16" s="500"/>
      <c r="G16" s="501"/>
      <c r="H16"/>
      <c r="I16"/>
      <c r="J16"/>
      <c r="K16"/>
      <c r="L16"/>
    </row>
    <row r="17" spans="1:12" ht="8.25" customHeight="1">
      <c r="A17" s="81"/>
      <c r="B17" s="469"/>
      <c r="C17" s="468"/>
      <c r="D17" s="468"/>
      <c r="E17" s="468"/>
      <c r="F17" s="468"/>
      <c r="G17" s="470"/>
      <c r="H17"/>
      <c r="I17"/>
      <c r="J17"/>
      <c r="K17"/>
      <c r="L17"/>
    </row>
    <row r="18" spans="1:12" ht="14.25" thickBot="1">
      <c r="A18" s="136" t="s">
        <v>47</v>
      </c>
      <c r="E18" s="92"/>
      <c r="H18"/>
      <c r="I18"/>
      <c r="J18"/>
      <c r="K18"/>
      <c r="L18"/>
    </row>
    <row r="19" spans="1:12" ht="13.5" customHeight="1">
      <c r="A19" s="525" t="str">
        <f>$B$2</f>
        <v>サンダー・サモンズ</v>
      </c>
      <c r="B19" s="526"/>
      <c r="C19" s="527"/>
      <c r="D19" s="497" t="s">
        <v>2</v>
      </c>
      <c r="E19" s="498"/>
      <c r="F19" s="484" t="s">
        <v>272</v>
      </c>
      <c r="G19" s="485"/>
      <c r="H19" s="173"/>
      <c r="I19" s="173"/>
      <c r="J19" s="173"/>
      <c r="K19" s="173"/>
    </row>
    <row r="20" spans="1:12" ht="16.5" customHeight="1" thickBot="1">
      <c r="A20" s="528"/>
      <c r="B20" s="529"/>
      <c r="C20" s="530"/>
      <c r="D20" s="160" t="s">
        <v>2</v>
      </c>
      <c r="E20" s="215" t="s">
        <v>1</v>
      </c>
      <c r="F20" s="160" t="s">
        <v>2</v>
      </c>
      <c r="G20" s="214" t="s">
        <v>1</v>
      </c>
      <c r="H20" s="173"/>
      <c r="I20" s="173"/>
      <c r="J20" s="173"/>
      <c r="K20" s="173"/>
    </row>
    <row r="21" spans="1:12" ht="21" customHeight="1">
      <c r="A21" s="450" t="s">
        <v>42</v>
      </c>
      <c r="B21" s="225" t="s">
        <v>113</v>
      </c>
      <c r="C21" s="488" t="str">
        <f>$K$8</f>
        <v>意志</v>
      </c>
      <c r="D21" s="222" t="str">
        <f>$L$8 &amp; "+1d20"</f>
        <v>20+1d20</v>
      </c>
      <c r="E21" s="223" t="str">
        <f>$L$8+2 &amp; "+1d20"</f>
        <v>22+1d20</v>
      </c>
      <c r="F21" s="222" t="str">
        <f>$L$8 &amp; "+1d20"</f>
        <v>20+1d20</v>
      </c>
      <c r="G21" s="224" t="str">
        <f>$L$8+2 &amp; "+1d20"</f>
        <v>22+1d20</v>
      </c>
      <c r="H21" s="173"/>
      <c r="I21" s="173"/>
      <c r="J21" s="173"/>
      <c r="K21" s="173"/>
    </row>
    <row r="22" spans="1:12" ht="21" customHeight="1">
      <c r="A22" s="451"/>
      <c r="B22" s="319" t="s">
        <v>427</v>
      </c>
      <c r="C22" s="489"/>
      <c r="D22" s="313" t="str">
        <f>$L$8 -5&amp; "+1d20"</f>
        <v>15+1d20</v>
      </c>
      <c r="E22" s="314" t="str">
        <f>$L$8+2 -5&amp; "+1d20"</f>
        <v>17+1d20</v>
      </c>
      <c r="F22" s="313" t="str">
        <f>$L$8 -5&amp; "+1d20"</f>
        <v>15+1d20</v>
      </c>
      <c r="G22" s="315" t="str">
        <f>$L$8+2 -5&amp; "+1d20"</f>
        <v>17+1d20</v>
      </c>
      <c r="H22" s="173"/>
      <c r="I22" s="173"/>
      <c r="J22" s="173"/>
      <c r="K22" s="173"/>
    </row>
    <row r="23" spans="1:12" ht="21" customHeight="1">
      <c r="A23" s="451"/>
      <c r="B23" s="321" t="s">
        <v>365</v>
      </c>
      <c r="C23" s="489"/>
      <c r="D23" s="316" t="str">
        <f>3+$L$8 &amp; "+1d20"</f>
        <v>23+1d20</v>
      </c>
      <c r="E23" s="317" t="str">
        <f>3+$L$8+2 &amp; "+1d20"</f>
        <v>25+1d20</v>
      </c>
      <c r="F23" s="316" t="str">
        <f>3+$L$8 &amp; "+1d20"</f>
        <v>23+1d20</v>
      </c>
      <c r="G23" s="318" t="str">
        <f>3+$L$8+2 &amp; "+1d20"</f>
        <v>25+1d20</v>
      </c>
      <c r="H23" s="173"/>
      <c r="I23" s="173"/>
      <c r="J23" s="173"/>
      <c r="K23" s="173"/>
    </row>
    <row r="24" spans="1:12" ht="21" customHeight="1" thickBot="1">
      <c r="A24" s="452"/>
      <c r="B24" s="320" t="s">
        <v>428</v>
      </c>
      <c r="C24" s="490"/>
      <c r="D24" s="226" t="str">
        <f>3+$L$8 -5&amp; "+1d20"</f>
        <v>18+1d20</v>
      </c>
      <c r="E24" s="227" t="str">
        <f>3+$L$8+2 -5&amp; "+1d20"</f>
        <v>20+1d20</v>
      </c>
      <c r="F24" s="226" t="str">
        <f>3+$L$8 -5&amp; "+1d20"</f>
        <v>18+1d20</v>
      </c>
      <c r="G24" s="228" t="str">
        <f>3+$L$8+2 -5&amp; "+1d20"</f>
        <v>20+1d20</v>
      </c>
      <c r="H24" s="173"/>
      <c r="I24" s="173"/>
      <c r="J24" s="173"/>
      <c r="K24" s="173"/>
    </row>
    <row r="25" spans="1:12" ht="21" customHeight="1">
      <c r="A25" s="442" t="s">
        <v>513</v>
      </c>
      <c r="B25" s="107" t="s">
        <v>4</v>
      </c>
      <c r="C25" s="110" t="str">
        <f t="shared" ref="C25:C27" si="0">IF($I$15 = 0,"", $I$15)</f>
        <v>雷鳴</v>
      </c>
      <c r="D25" s="111" t="str">
        <f>$L$13 &amp; "+" &amp; $I$13 &amp; "d" &amp; $K$13</f>
        <v>30+3d8</v>
      </c>
      <c r="E25" s="216" t="str">
        <f>$L$13 &amp; "+" &amp; $I$13 &amp; "d" &amp; $K$13</f>
        <v>30+3d8</v>
      </c>
      <c r="F25" s="111" t="str">
        <f>$L$13 &amp; "+" &amp; $I$13 &amp; "d" &amp; $K$13&amp;"+1d6"</f>
        <v>30+3d8+1d6</v>
      </c>
      <c r="G25" s="158" t="str">
        <f>$L$13 &amp; "+" &amp; $I$13 &amp; "d" &amp; $K$13&amp;"+1d6"</f>
        <v>30+3d8+1d6</v>
      </c>
      <c r="H25" s="173"/>
      <c r="I25" s="173"/>
      <c r="J25" s="173"/>
      <c r="K25" s="173"/>
    </row>
    <row r="26" spans="1:12" ht="21" customHeight="1" thickBot="1">
      <c r="A26" s="443"/>
      <c r="B26" s="104" t="s">
        <v>3</v>
      </c>
      <c r="C26" s="354" t="s">
        <v>604</v>
      </c>
      <c r="D26" s="106" t="str">
        <f>$L$14 &amp; IF($I$14 = 0,"","+" &amp; $I$14 &amp; "d" &amp; $K$14)</f>
        <v>54+4d6</v>
      </c>
      <c r="E26" s="217" t="str">
        <f>$L$14 &amp; IF($I$14 = 0,"","+" &amp; $I$14 &amp; "d" &amp; $K$14)</f>
        <v>54+4d6</v>
      </c>
      <c r="F26" s="106" t="str">
        <f>6+$L$14 &amp; IF($I$14 = 0,"","+" &amp; $I$14 &amp; "d" &amp; $K$14)</f>
        <v>60+4d6</v>
      </c>
      <c r="G26" s="103" t="str">
        <f>6+$L$14 &amp; IF($I$14 = 0,"","+" &amp; $I$14 &amp; "d" &amp; $K$14)</f>
        <v>60+4d6</v>
      </c>
      <c r="H26" s="173"/>
      <c r="I26" s="173"/>
      <c r="J26" s="173"/>
      <c r="K26" s="173"/>
    </row>
    <row r="27" spans="1:12" ht="21" customHeight="1">
      <c r="A27" s="442" t="s">
        <v>266</v>
      </c>
      <c r="B27" s="107" t="s">
        <v>4</v>
      </c>
      <c r="C27" s="110" t="str">
        <f t="shared" si="0"/>
        <v>雷鳴</v>
      </c>
      <c r="D27" s="111" t="str">
        <f>2+$L$13 &amp; "+" &amp; $I$13 &amp; "d" &amp; $K$13</f>
        <v>32+3d8</v>
      </c>
      <c r="E27" s="216" t="str">
        <f>2+$L$13 &amp; "+" &amp; $I$13 &amp; "d" &amp; $K$13</f>
        <v>32+3d8</v>
      </c>
      <c r="F27" s="111" t="str">
        <f>2+$L$13 &amp; "+" &amp; $I$13 &amp; "d" &amp; $K$13&amp;"+1d6"</f>
        <v>32+3d8+1d6</v>
      </c>
      <c r="G27" s="158" t="str">
        <f>2+$L$13 &amp; "+" &amp; $I$13 &amp; "d" &amp; $K$13&amp;"+1d6"</f>
        <v>32+3d8+1d6</v>
      </c>
      <c r="H27" s="173"/>
      <c r="I27" s="173"/>
      <c r="J27" s="173"/>
      <c r="K27" s="173"/>
    </row>
    <row r="28" spans="1:12" ht="21" customHeight="1" thickBot="1">
      <c r="A28" s="443"/>
      <c r="B28" s="104" t="s">
        <v>3</v>
      </c>
      <c r="C28" s="354" t="s">
        <v>604</v>
      </c>
      <c r="D28" s="106" t="str">
        <f>2+$L$14 &amp; IF($I$14 = 0,"","+" &amp; $I$14 &amp; "d" &amp; $K$14)</f>
        <v>56+4d6</v>
      </c>
      <c r="E28" s="217" t="str">
        <f>2+$L$14 &amp; IF($I$14 = 0,"","+" &amp; $I$14 &amp; "d" &amp; $K$14)</f>
        <v>56+4d6</v>
      </c>
      <c r="F28" s="106" t="str">
        <f>2+6+$L$14 &amp; IF($I$14 = 0,"","+" &amp; $I$14 &amp; "d" &amp; $K$14)</f>
        <v>62+4d6</v>
      </c>
      <c r="G28" s="103" t="str">
        <f>2+6+$L$14 &amp; IF($I$14 = 0,"","+" &amp; $I$14 &amp; "d" &amp; $K$14)</f>
        <v>62+4d6</v>
      </c>
      <c r="H28" s="173"/>
      <c r="I28" s="173"/>
      <c r="J28" s="173"/>
      <c r="K28" s="173"/>
    </row>
    <row r="29" spans="1:12" s="203" customFormat="1" ht="9.75" customHeight="1">
      <c r="A29" s="480"/>
      <c r="B29" s="480"/>
      <c r="C29" s="480"/>
      <c r="D29" s="480"/>
      <c r="E29" s="480"/>
      <c r="F29" s="480"/>
      <c r="G29" s="480"/>
      <c r="H29" s="202"/>
    </row>
    <row r="30" spans="1:12" ht="14.25">
      <c r="A30" s="362" t="s">
        <v>515</v>
      </c>
      <c r="B30" s="362"/>
      <c r="C30" s="362"/>
      <c r="D30" s="362"/>
      <c r="E30" s="362"/>
      <c r="F30" s="362"/>
      <c r="G30" s="362"/>
      <c r="I30" s="173"/>
      <c r="J30" s="173"/>
      <c r="K30" s="173"/>
    </row>
    <row r="31" spans="1:12" ht="14.25">
      <c r="A31" s="362" t="s">
        <v>299</v>
      </c>
      <c r="B31" s="362"/>
      <c r="C31" s="362"/>
      <c r="D31" s="362"/>
      <c r="E31" s="362"/>
      <c r="F31" s="362"/>
      <c r="G31" s="362"/>
      <c r="I31" s="173"/>
      <c r="J31" s="173"/>
      <c r="K31" s="173"/>
    </row>
    <row r="32" spans="1:12" s="205" customFormat="1" ht="14.25">
      <c r="A32" s="362" t="s">
        <v>298</v>
      </c>
      <c r="B32" s="362"/>
      <c r="C32" s="362"/>
      <c r="D32" s="362"/>
      <c r="E32" s="362"/>
      <c r="F32" s="362"/>
      <c r="G32" s="362"/>
      <c r="H32" s="204"/>
      <c r="I32" s="204"/>
      <c r="J32" s="204"/>
      <c r="K32" s="204"/>
    </row>
    <row r="33" spans="1:13" ht="14.25">
      <c r="A33" s="362" t="s">
        <v>590</v>
      </c>
      <c r="B33" s="362"/>
      <c r="C33" s="362"/>
      <c r="D33" s="362"/>
      <c r="E33" s="362"/>
      <c r="F33" s="362"/>
      <c r="G33" s="362"/>
      <c r="I33" s="173"/>
      <c r="J33" s="173"/>
      <c r="K33" s="173"/>
    </row>
    <row r="34" spans="1:13" s="205" customFormat="1" ht="14.25">
      <c r="A34" s="362" t="s">
        <v>220</v>
      </c>
      <c r="B34" s="362"/>
      <c r="C34" s="362"/>
      <c r="D34" s="362"/>
      <c r="E34" s="362"/>
      <c r="F34" s="362"/>
      <c r="G34" s="362"/>
      <c r="H34" s="204"/>
    </row>
    <row r="35" spans="1:13" ht="14.25">
      <c r="A35" s="362" t="s">
        <v>440</v>
      </c>
      <c r="B35" s="362"/>
      <c r="C35" s="362"/>
      <c r="D35" s="362"/>
      <c r="E35" s="362"/>
      <c r="F35" s="362"/>
      <c r="G35" s="362"/>
      <c r="I35" s="173"/>
      <c r="J35" s="173"/>
      <c r="K35" s="173"/>
    </row>
    <row r="36" spans="1:13" ht="14.25">
      <c r="A36" s="362" t="s">
        <v>535</v>
      </c>
      <c r="B36" s="362"/>
      <c r="C36" s="362"/>
      <c r="D36" s="362"/>
      <c r="E36" s="362"/>
      <c r="F36" s="362"/>
      <c r="G36" s="362"/>
      <c r="H36" s="173"/>
      <c r="I36" s="173"/>
      <c r="J36" s="173"/>
      <c r="K36" s="173"/>
    </row>
    <row r="37" spans="1:13" ht="14.25">
      <c r="A37" s="362" t="s">
        <v>366</v>
      </c>
      <c r="B37" s="362"/>
      <c r="C37" s="362"/>
      <c r="D37" s="362"/>
      <c r="E37" s="362"/>
      <c r="F37" s="362"/>
      <c r="G37" s="362"/>
      <c r="J37" s="173"/>
      <c r="K37" s="173"/>
    </row>
    <row r="38" spans="1:13" ht="14.25">
      <c r="A38" s="362" t="s">
        <v>215</v>
      </c>
      <c r="B38" s="362"/>
      <c r="C38" s="362"/>
      <c r="D38" s="362"/>
      <c r="E38" s="362"/>
      <c r="F38" s="362"/>
      <c r="G38" s="362"/>
      <c r="J38" s="173"/>
      <c r="K38" s="173"/>
    </row>
    <row r="39" spans="1:13">
      <c r="A39" s="377" t="s">
        <v>216</v>
      </c>
      <c r="B39" s="377"/>
      <c r="C39" s="377"/>
      <c r="D39" s="377"/>
      <c r="E39" s="377"/>
      <c r="F39" s="377"/>
      <c r="G39" s="377"/>
      <c r="I39" s="173"/>
    </row>
    <row r="40" spans="1:13">
      <c r="A40" s="377" t="s">
        <v>217</v>
      </c>
      <c r="B40" s="377"/>
      <c r="C40" s="377"/>
      <c r="D40" s="377"/>
      <c r="E40" s="377"/>
      <c r="F40" s="377"/>
      <c r="G40" s="377"/>
    </row>
    <row r="41" spans="1:13" ht="8.25" customHeight="1">
      <c r="A41" s="468"/>
      <c r="B41" s="468"/>
      <c r="C41" s="468"/>
      <c r="D41" s="468"/>
      <c r="E41" s="468"/>
      <c r="F41" s="468"/>
      <c r="G41" s="468"/>
    </row>
    <row r="42" spans="1:13">
      <c r="A42" s="473" t="s">
        <v>49</v>
      </c>
      <c r="B42" s="474"/>
      <c r="C42" s="474"/>
      <c r="D42" s="474"/>
      <c r="E42" s="474"/>
      <c r="F42" s="474"/>
      <c r="G42" s="475"/>
    </row>
    <row r="43" spans="1:13" s="204" customFormat="1" ht="13.5" customHeight="1">
      <c r="A43" s="508"/>
      <c r="B43" s="509"/>
      <c r="C43" s="509"/>
      <c r="D43" s="509"/>
      <c r="E43" s="509"/>
      <c r="F43" s="509"/>
      <c r="G43" s="510"/>
      <c r="L43" s="205"/>
      <c r="M43" s="205"/>
    </row>
    <row r="44" spans="1:13" s="204" customFormat="1" ht="13.5" customHeight="1">
      <c r="A44" s="466" t="s">
        <v>619</v>
      </c>
      <c r="B44" s="359"/>
      <c r="C44" s="359"/>
      <c r="D44" s="359"/>
      <c r="E44" s="359"/>
      <c r="F44" s="359"/>
      <c r="G44" s="467"/>
      <c r="L44" s="205"/>
      <c r="M44" s="205"/>
    </row>
    <row r="45" spans="1:13" s="204" customFormat="1" ht="13.5" customHeight="1">
      <c r="A45" s="466" t="s">
        <v>618</v>
      </c>
      <c r="B45" s="359"/>
      <c r="C45" s="359"/>
      <c r="D45" s="359"/>
      <c r="E45" s="359"/>
      <c r="F45" s="359"/>
      <c r="G45" s="467"/>
      <c r="L45" s="205"/>
      <c r="M45" s="205"/>
    </row>
    <row r="46" spans="1:13" s="204" customFormat="1" ht="13.5" customHeight="1">
      <c r="A46" s="466" t="s">
        <v>623</v>
      </c>
      <c r="B46" s="359"/>
      <c r="C46" s="359"/>
      <c r="D46" s="359"/>
      <c r="E46" s="359"/>
      <c r="F46" s="359"/>
      <c r="G46" s="467"/>
      <c r="L46" s="205"/>
      <c r="M46" s="205"/>
    </row>
    <row r="47" spans="1:13" s="204" customFormat="1" ht="13.5" customHeight="1">
      <c r="A47" s="466" t="s">
        <v>620</v>
      </c>
      <c r="B47" s="359"/>
      <c r="C47" s="359"/>
      <c r="D47" s="359"/>
      <c r="E47" s="359"/>
      <c r="F47" s="359"/>
      <c r="G47" s="467"/>
      <c r="L47" s="205"/>
      <c r="M47" s="205"/>
    </row>
    <row r="48" spans="1:13" s="204" customFormat="1" ht="13.5" customHeight="1">
      <c r="A48" s="466" t="s">
        <v>624</v>
      </c>
      <c r="B48" s="359"/>
      <c r="C48" s="359"/>
      <c r="D48" s="359"/>
      <c r="E48" s="359"/>
      <c r="F48" s="359"/>
      <c r="G48" s="467"/>
      <c r="L48" s="205"/>
      <c r="M48" s="205"/>
    </row>
    <row r="49" spans="1:13" s="204" customFormat="1" ht="13.5" customHeight="1">
      <c r="A49" s="466"/>
      <c r="B49" s="359"/>
      <c r="C49" s="359"/>
      <c r="D49" s="359"/>
      <c r="E49" s="359"/>
      <c r="F49" s="359"/>
      <c r="G49" s="467"/>
      <c r="L49" s="205"/>
      <c r="M49" s="205"/>
    </row>
    <row r="50" spans="1:13" s="204" customFormat="1" ht="13.5" customHeight="1">
      <c r="A50" s="508"/>
      <c r="B50" s="509"/>
      <c r="C50" s="509"/>
      <c r="D50" s="509"/>
      <c r="E50" s="509"/>
      <c r="F50" s="509"/>
      <c r="G50" s="510"/>
      <c r="L50" s="205"/>
      <c r="M50" s="205"/>
    </row>
    <row r="51" spans="1:13" s="91" customFormat="1" ht="21">
      <c r="A51" s="35" t="s">
        <v>114</v>
      </c>
      <c r="B51" s="338">
        <f>$B$1</f>
        <v>17</v>
      </c>
      <c r="C51" s="36" t="s">
        <v>40</v>
      </c>
      <c r="D51" s="37" t="str">
        <f>$E$1</f>
        <v>遭遇毎</v>
      </c>
      <c r="E51" s="537" t="str">
        <f>$B$2</f>
        <v>サンダー・サモンズ</v>
      </c>
      <c r="F51" s="538"/>
      <c r="G51" s="539"/>
      <c r="L51" s="173"/>
    </row>
  </sheetData>
  <mergeCells count="50">
    <mergeCell ref="J9:K9"/>
    <mergeCell ref="B10:G10"/>
    <mergeCell ref="B1:C1"/>
    <mergeCell ref="F1:G1"/>
    <mergeCell ref="B2:G2"/>
    <mergeCell ref="B4:G4"/>
    <mergeCell ref="H4:L4"/>
    <mergeCell ref="B5:G5"/>
    <mergeCell ref="B6:D6"/>
    <mergeCell ref="B7:D7"/>
    <mergeCell ref="B8:G8"/>
    <mergeCell ref="B9:G9"/>
    <mergeCell ref="B11:G11"/>
    <mergeCell ref="J11:K11"/>
    <mergeCell ref="B12:G12"/>
    <mergeCell ref="B13:G13"/>
    <mergeCell ref="B14:G14"/>
    <mergeCell ref="A32:G32"/>
    <mergeCell ref="B17:G17"/>
    <mergeCell ref="A19:C20"/>
    <mergeCell ref="D19:E19"/>
    <mergeCell ref="F19:G19"/>
    <mergeCell ref="A21:A24"/>
    <mergeCell ref="C21:C24"/>
    <mergeCell ref="A29:G29"/>
    <mergeCell ref="A30:G30"/>
    <mergeCell ref="A31:G31"/>
    <mergeCell ref="B16:G16"/>
    <mergeCell ref="B15:G15"/>
    <mergeCell ref="A37:G37"/>
    <mergeCell ref="A38:G38"/>
    <mergeCell ref="A39:G39"/>
    <mergeCell ref="A40:G40"/>
    <mergeCell ref="A41:G41"/>
    <mergeCell ref="A25:A26"/>
    <mergeCell ref="A27:A28"/>
    <mergeCell ref="A48:G48"/>
    <mergeCell ref="E51:G51"/>
    <mergeCell ref="A43:G43"/>
    <mergeCell ref="A45:G45"/>
    <mergeCell ref="A46:G46"/>
    <mergeCell ref="A50:G50"/>
    <mergeCell ref="A47:G47"/>
    <mergeCell ref="A49:G49"/>
    <mergeCell ref="A44:G44"/>
    <mergeCell ref="A42:G42"/>
    <mergeCell ref="A33:G33"/>
    <mergeCell ref="A34:G34"/>
    <mergeCell ref="A35:G35"/>
    <mergeCell ref="A36:G36"/>
  </mergeCells>
  <phoneticPr fontId="1"/>
  <pageMargins left="0.7" right="0.7" top="0.75" bottom="0.75" header="0.3" footer="0.3"/>
  <pageSetup paperSize="9" orientation="portrait" horizontalDpi="300" verticalDpi="300" r:id="rId1"/>
  <headerFooter>
    <oddHeader>&amp;Cイーライ</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48"/>
  <sheetViews>
    <sheetView topLeftCell="A20" zoomScaleNormal="100" workbookViewId="0">
      <selection activeCell="B24" sqref="A24:XFD31"/>
    </sheetView>
  </sheetViews>
  <sheetFormatPr defaultColWidth="9" defaultRowHeight="13.5"/>
  <cols>
    <col min="1" max="1" width="7.875" style="143" customWidth="1"/>
    <col min="2" max="2" width="8.5" style="143" customWidth="1"/>
    <col min="3" max="3" width="6.625" style="143" customWidth="1"/>
    <col min="4" max="4" width="15.75" style="14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43" customWidth="1"/>
    <col min="13" max="13" width="9.25" style="143" customWidth="1"/>
    <col min="14" max="14" width="12.375" style="143" customWidth="1"/>
    <col min="15" max="16384" width="9" style="143"/>
  </cols>
  <sheetData>
    <row r="1" spans="1:17" ht="21">
      <c r="A1" s="127" t="s">
        <v>114</v>
      </c>
      <c r="B1" s="563">
        <v>5</v>
      </c>
      <c r="C1" s="564"/>
      <c r="D1" s="128" t="s">
        <v>40</v>
      </c>
      <c r="E1" s="129" t="s">
        <v>125</v>
      </c>
      <c r="F1" s="565"/>
      <c r="G1" s="566"/>
      <c r="H1" s="96" t="s">
        <v>55</v>
      </c>
    </row>
    <row r="2" spans="1:17" ht="24.75" customHeight="1">
      <c r="A2" s="128" t="s">
        <v>0</v>
      </c>
      <c r="B2" s="567" t="s">
        <v>325</v>
      </c>
      <c r="C2" s="567"/>
      <c r="D2" s="567"/>
      <c r="E2" s="567"/>
      <c r="F2" s="567"/>
      <c r="G2" s="567"/>
      <c r="H2" s="96" t="s">
        <v>56</v>
      </c>
    </row>
    <row r="3" spans="1:17" ht="19.5" customHeight="1">
      <c r="A3" s="102" t="s">
        <v>48</v>
      </c>
      <c r="B3" s="91"/>
      <c r="C3" s="91"/>
      <c r="D3" s="91"/>
      <c r="I3" s="96"/>
    </row>
    <row r="4" spans="1:17">
      <c r="A4" s="76" t="s">
        <v>46</v>
      </c>
      <c r="B4" s="439" t="s">
        <v>227</v>
      </c>
      <c r="C4" s="440"/>
      <c r="D4" s="440"/>
      <c r="E4" s="440"/>
      <c r="F4" s="440"/>
      <c r="G4" s="441"/>
      <c r="H4" s="381" t="s">
        <v>201</v>
      </c>
      <c r="I4" s="382"/>
      <c r="J4" s="382"/>
      <c r="K4" s="382"/>
      <c r="L4" s="383"/>
    </row>
    <row r="5" spans="1:17">
      <c r="A5" s="77" t="s">
        <v>39</v>
      </c>
      <c r="B5" s="439" t="s">
        <v>228</v>
      </c>
      <c r="C5" s="440"/>
      <c r="D5" s="440"/>
      <c r="E5" s="440"/>
      <c r="F5" s="440"/>
      <c r="G5" s="441"/>
      <c r="H5" s="151" t="s">
        <v>43</v>
      </c>
      <c r="I5" s="153" t="s">
        <v>71</v>
      </c>
      <c r="J5" s="153">
        <v>5</v>
      </c>
    </row>
    <row r="6" spans="1:17">
      <c r="A6" s="77" t="s">
        <v>7</v>
      </c>
      <c r="B6" s="439" t="s">
        <v>229</v>
      </c>
      <c r="C6" s="440"/>
      <c r="D6" s="441"/>
      <c r="E6" s="151" t="s">
        <v>43</v>
      </c>
      <c r="F6" s="152" t="str">
        <f>$I$5</f>
        <v>遠隔</v>
      </c>
      <c r="G6" s="152">
        <f>IF($J$5 = 0,"", $J$5)</f>
        <v>5</v>
      </c>
      <c r="H6" s="151" t="s">
        <v>66</v>
      </c>
      <c r="I6" s="153"/>
      <c r="J6" s="153"/>
    </row>
    <row r="7" spans="1:17">
      <c r="A7" s="78" t="s">
        <v>6</v>
      </c>
      <c r="B7" s="439" t="s">
        <v>315</v>
      </c>
      <c r="C7" s="440"/>
      <c r="D7" s="441"/>
      <c r="E7" s="151" t="s">
        <v>66</v>
      </c>
      <c r="F7" s="152" t="str">
        <f>IF($I$6 = 0,"", $I$6)</f>
        <v/>
      </c>
      <c r="G7" s="152" t="str">
        <f>IF($J$6 = 0,"", $J$6)</f>
        <v/>
      </c>
      <c r="H7" s="151" t="s">
        <v>85</v>
      </c>
      <c r="I7" s="153" t="s">
        <v>133</v>
      </c>
      <c r="J7" s="96" t="s">
        <v>62</v>
      </c>
      <c r="L7" s="191" t="s">
        <v>193</v>
      </c>
    </row>
    <row r="8" spans="1:17">
      <c r="A8" s="78" t="s">
        <v>230</v>
      </c>
      <c r="B8" s="439" t="s">
        <v>316</v>
      </c>
      <c r="C8" s="440"/>
      <c r="D8" s="440"/>
      <c r="E8" s="440"/>
      <c r="F8" s="440"/>
      <c r="G8" s="441"/>
      <c r="H8" s="151" t="s">
        <v>51</v>
      </c>
      <c r="I8" s="153" t="s">
        <v>17</v>
      </c>
      <c r="J8" s="152">
        <f>IF($I$8 = "筋力",基本!$C$5,IF($I$8 = "耐久力",基本!$C$6,IF($I$8 = "敏捷力",基本!$C$7,IF($I$8 = "知力",基本!$C$8,IF($I$8 = "判断力",基本!$C$9,IF($I$8 = "魅力",基本!$C$10,""))))))</f>
        <v>6</v>
      </c>
      <c r="K8" s="153" t="s">
        <v>21</v>
      </c>
      <c r="L8" s="192">
        <f>$J$8+$L$9+$I$9</f>
        <v>20</v>
      </c>
    </row>
    <row r="9" spans="1:17" ht="14.25" customHeight="1">
      <c r="A9" s="79" t="s">
        <v>61</v>
      </c>
      <c r="B9" s="444" t="s">
        <v>373</v>
      </c>
      <c r="C9" s="445"/>
      <c r="D9" s="445"/>
      <c r="E9" s="445"/>
      <c r="F9" s="445"/>
      <c r="G9" s="446"/>
      <c r="H9" s="151" t="s">
        <v>58</v>
      </c>
      <c r="I9" s="153">
        <v>0</v>
      </c>
      <c r="J9" s="381" t="s">
        <v>53</v>
      </c>
      <c r="K9" s="383"/>
      <c r="L9" s="152">
        <f>IF($I$7=基本!$F$4,基本!$O$7,IF($I$7=基本!$F$13,基本!$O$16,IF($I$7=基本!$F$22,基本!$O$25,IF($I$7=基本!$F$31,基本!$O$34,IF($I$7=基本!$F$40,基本!$O$43,0)))))</f>
        <v>14</v>
      </c>
    </row>
    <row r="10" spans="1:17" ht="13.5" customHeight="1">
      <c r="A10" s="78" t="s">
        <v>8</v>
      </c>
      <c r="B10" s="238" t="s">
        <v>231</v>
      </c>
      <c r="C10" s="239"/>
      <c r="D10" s="239"/>
      <c r="E10" s="239"/>
      <c r="F10" s="239"/>
      <c r="G10" s="240"/>
      <c r="H10" s="150" t="s">
        <v>52</v>
      </c>
      <c r="I10" s="153" t="s">
        <v>17</v>
      </c>
      <c r="J10" s="100">
        <f>IF($I$10 = "筋力",基本!$C$5,IF($I$10 = "耐久力",基本!$C$6,IF($I$10 = "敏捷力",基本!$C$7,IF($I$10 = "知力",基本!$C$8,IF($I$10 = "判断力",基本!$C$9,IF($I$10 = "魅力",基本!$C$10,""))))))</f>
        <v>6</v>
      </c>
      <c r="L10" s="91"/>
    </row>
    <row r="11" spans="1:17" ht="13.5" customHeight="1">
      <c r="A11" s="79" t="s">
        <v>9</v>
      </c>
      <c r="B11" s="241" t="s">
        <v>232</v>
      </c>
      <c r="C11" s="242"/>
      <c r="D11" s="242"/>
      <c r="E11" s="242"/>
      <c r="F11" s="242"/>
      <c r="G11" s="243"/>
      <c r="H11" s="151" t="s">
        <v>59</v>
      </c>
      <c r="I11" s="153">
        <v>0</v>
      </c>
      <c r="J11" s="381" t="s">
        <v>54</v>
      </c>
      <c r="K11" s="383"/>
      <c r="L11" s="152">
        <f>IF($I$7=基本!$F$4,基本!$O$9,IF($I$7=基本!$F$13,基本!$O$18,IF($I$7=基本!$F$22,基本!$O$27,IF($I$7=基本!$F$31,基本!$O$36,IF($I$7=基本!$F$40,基本!$O$45,0)))))</f>
        <v>17</v>
      </c>
    </row>
    <row r="12" spans="1:17">
      <c r="A12" s="78" t="s">
        <v>233</v>
      </c>
      <c r="B12" s="574" t="s">
        <v>234</v>
      </c>
      <c r="C12" s="575"/>
      <c r="D12" s="575"/>
      <c r="E12" s="575"/>
      <c r="F12" s="575"/>
      <c r="G12" s="576"/>
      <c r="I12" s="173"/>
      <c r="J12" s="173"/>
      <c r="K12" s="173"/>
      <c r="L12" s="191" t="s">
        <v>193</v>
      </c>
      <c r="M12" s="173"/>
      <c r="N12" s="173"/>
      <c r="O12" s="173"/>
      <c r="P12" s="173"/>
      <c r="Q12" s="173"/>
    </row>
    <row r="13" spans="1:17" ht="8.25" customHeight="1">
      <c r="A13" s="79"/>
      <c r="B13" s="568"/>
      <c r="C13" s="569"/>
      <c r="D13" s="569"/>
      <c r="E13" s="569"/>
      <c r="F13" s="569"/>
      <c r="G13" s="570"/>
      <c r="H13" s="177" t="s">
        <v>86</v>
      </c>
      <c r="I13" s="153">
        <v>2</v>
      </c>
      <c r="J13" s="151" t="s">
        <v>44</v>
      </c>
      <c r="K13" s="153">
        <v>10</v>
      </c>
      <c r="L13" s="192">
        <f>$J$10+$L$11+$I$11</f>
        <v>23</v>
      </c>
      <c r="M13" s="105"/>
    </row>
    <row r="14" spans="1:17" ht="21" customHeight="1">
      <c r="A14" s="80"/>
      <c r="B14" s="571" t="str">
        <f>"攻撃前に "&amp;基本!$B$15+3 &amp; " マスまで瞬間移動可能　（でも射程は５）"</f>
        <v>攻撃前に 9 マスまで瞬間移動可能　（でも射程は５）</v>
      </c>
      <c r="C14" s="572"/>
      <c r="D14" s="572"/>
      <c r="E14" s="572"/>
      <c r="F14" s="572"/>
      <c r="G14" s="573"/>
      <c r="H14" s="151" t="s">
        <v>50</v>
      </c>
      <c r="I14" s="32">
        <f>IF($I$7=基本!$F$4,基本!$L$11,IF($I$7=基本!$F$13,基本!$L$20,IF($I$7=基本!$F$22,基本!$L$29,IF($I$7=基本!$F$31,基本!$L$38,IF($I$7=基本!$F$40,基本!$L$47,0)))))</f>
        <v>4</v>
      </c>
      <c r="J14" s="177" t="s">
        <v>194</v>
      </c>
      <c r="K14" s="32">
        <f>IF($I$7=基本!$F$4,基本!$N$11,IF($I$7=基本!$F$13,基本!$N$20,IF($I$7=基本!$F$22,基本!$N$29,IF($I$7=基本!$F$31,基本!$N$38,IF($I$7=基本!$F$40,基本!$N$47,0)))))</f>
        <v>6</v>
      </c>
      <c r="L14" s="192">
        <f>$J$10+$L$11+$I$11+($I$13*$K$13)</f>
        <v>43</v>
      </c>
      <c r="M14" s="105"/>
    </row>
    <row r="15" spans="1:17" ht="7.5" customHeight="1">
      <c r="A15" s="80"/>
      <c r="B15" s="481"/>
      <c r="C15" s="482"/>
      <c r="D15" s="482"/>
      <c r="E15" s="482"/>
      <c r="F15" s="482"/>
      <c r="G15" s="483"/>
      <c r="H15" s="151" t="s">
        <v>60</v>
      </c>
      <c r="I15" s="153" t="s">
        <v>77</v>
      </c>
      <c r="J15" s="177" t="s">
        <v>195</v>
      </c>
      <c r="K15" s="179" t="s">
        <v>17</v>
      </c>
      <c r="L15" s="176">
        <f>IF(K15="",0,VLOOKUP(K15,基本!$A$5:'基本'!$C$10,3,FALSE))</f>
        <v>6</v>
      </c>
    </row>
    <row r="16" spans="1:17" ht="5.25" customHeight="1">
      <c r="A16" s="81"/>
      <c r="B16" s="469"/>
      <c r="C16" s="468"/>
      <c r="D16" s="468"/>
      <c r="E16" s="468"/>
      <c r="F16" s="468"/>
      <c r="G16" s="470"/>
      <c r="H16" s="143"/>
      <c r="I16" s="143"/>
      <c r="J16" s="143"/>
      <c r="K16" s="143"/>
    </row>
    <row r="17" spans="1:11" ht="14.25" thickBot="1">
      <c r="A17" s="136" t="s">
        <v>47</v>
      </c>
      <c r="E17" s="92"/>
      <c r="H17" s="143"/>
      <c r="I17" s="143"/>
      <c r="J17" s="143"/>
      <c r="K17" s="143"/>
    </row>
    <row r="18" spans="1:11" s="173" customFormat="1" ht="13.5" customHeight="1">
      <c r="A18" s="557" t="str">
        <f>$B$2</f>
        <v>スラーズ・ギャンビット</v>
      </c>
      <c r="B18" s="558"/>
      <c r="C18" s="559"/>
      <c r="D18" s="497" t="s">
        <v>2</v>
      </c>
      <c r="E18" s="498"/>
      <c r="F18" s="484" t="s">
        <v>272</v>
      </c>
      <c r="G18" s="485"/>
    </row>
    <row r="19" spans="1:11" s="173" customFormat="1" ht="16.5" customHeight="1" thickBot="1">
      <c r="A19" s="560"/>
      <c r="B19" s="561"/>
      <c r="C19" s="562"/>
      <c r="D19" s="160" t="s">
        <v>2</v>
      </c>
      <c r="E19" s="215" t="s">
        <v>1</v>
      </c>
      <c r="F19" s="160" t="s">
        <v>2</v>
      </c>
      <c r="G19" s="214" t="s">
        <v>1</v>
      </c>
    </row>
    <row r="20" spans="1:11" s="173" customFormat="1" ht="21.75" customHeight="1">
      <c r="A20" s="450" t="s">
        <v>42</v>
      </c>
      <c r="B20" s="225" t="s">
        <v>113</v>
      </c>
      <c r="C20" s="488" t="str">
        <f>$K$8</f>
        <v>意志</v>
      </c>
      <c r="D20" s="222" t="str">
        <f>$L$8 &amp; "+1d20"</f>
        <v>20+1d20</v>
      </c>
      <c r="E20" s="223" t="str">
        <f>$L$8+2 &amp; "+1d20"</f>
        <v>22+1d20</v>
      </c>
      <c r="F20" s="222" t="str">
        <f>$L$8 &amp; "+1d20"</f>
        <v>20+1d20</v>
      </c>
      <c r="G20" s="224" t="str">
        <f>$L$8+2 &amp; "+1d20"</f>
        <v>22+1d20</v>
      </c>
    </row>
    <row r="21" spans="1:11" s="173" customFormat="1" ht="21.75" customHeight="1">
      <c r="A21" s="451"/>
      <c r="B21" s="319" t="s">
        <v>427</v>
      </c>
      <c r="C21" s="489"/>
      <c r="D21" s="313" t="str">
        <f>$L$8 -5&amp; "+1d20"</f>
        <v>15+1d20</v>
      </c>
      <c r="E21" s="314" t="str">
        <f>$L$8+2 -5&amp; "+1d20"</f>
        <v>17+1d20</v>
      </c>
      <c r="F21" s="313" t="str">
        <f>$L$8 -5&amp; "+1d20"</f>
        <v>15+1d20</v>
      </c>
      <c r="G21" s="315" t="str">
        <f>$L$8+2 -5&amp; "+1d20"</f>
        <v>17+1d20</v>
      </c>
    </row>
    <row r="22" spans="1:11" s="173" customFormat="1" ht="21.75" customHeight="1">
      <c r="A22" s="451"/>
      <c r="B22" s="321" t="s">
        <v>365</v>
      </c>
      <c r="C22" s="489"/>
      <c r="D22" s="316" t="str">
        <f>3+$L$8 &amp; "+1d20"</f>
        <v>23+1d20</v>
      </c>
      <c r="E22" s="317" t="str">
        <f>3+$L$8+2 &amp; "+1d20"</f>
        <v>25+1d20</v>
      </c>
      <c r="F22" s="316" t="str">
        <f>3+$L$8 &amp; "+1d20"</f>
        <v>23+1d20</v>
      </c>
      <c r="G22" s="318" t="str">
        <f>3+$L$8+2 &amp; "+1d20"</f>
        <v>25+1d20</v>
      </c>
    </row>
    <row r="23" spans="1:11" s="173" customFormat="1" ht="21.75" customHeight="1" thickBot="1">
      <c r="A23" s="452"/>
      <c r="B23" s="320" t="s">
        <v>428</v>
      </c>
      <c r="C23" s="490"/>
      <c r="D23" s="226" t="str">
        <f>3+$L$8 -5&amp; "+1d20"</f>
        <v>18+1d20</v>
      </c>
      <c r="E23" s="227" t="str">
        <f>3+$L$8+2 -5&amp; "+1d20"</f>
        <v>20+1d20</v>
      </c>
      <c r="F23" s="226" t="str">
        <f>3+$L$8 -5&amp; "+1d20"</f>
        <v>18+1d20</v>
      </c>
      <c r="G23" s="228" t="str">
        <f>3+$L$8+2 -5&amp; "+1d20"</f>
        <v>20+1d20</v>
      </c>
    </row>
    <row r="24" spans="1:11" s="173" customFormat="1" ht="21" customHeight="1">
      <c r="A24" s="442" t="s">
        <v>513</v>
      </c>
      <c r="B24" s="348" t="s">
        <v>2</v>
      </c>
      <c r="C24" s="521" t="str">
        <f>IF($I$15 = 0,"", $I$15)</f>
        <v>精神</v>
      </c>
      <c r="D24" s="63" t="str">
        <f>基本!$K$2+$L$13 &amp; "+" &amp; $I$13 &amp; "d" &amp; $K$13</f>
        <v>25+2d10</v>
      </c>
      <c r="E24" s="349" t="str">
        <f>基本!$K$2+$L$13 &amp; "+" &amp; $I$13 &amp; "d" &amp; $K$13</f>
        <v>25+2d10</v>
      </c>
      <c r="F24" s="63" t="str">
        <f>基本!$K$2+$L$13 &amp; "+" &amp; $I$13 &amp; "d" &amp; $K$13&amp;"+1d6"</f>
        <v>25+2d10+1d6</v>
      </c>
      <c r="G24" s="64" t="str">
        <f>基本!$K$2+$L$13 &amp; "+" &amp; $I$13 &amp; "d" &amp; $K$13&amp;"+1d6"</f>
        <v>25+2d10+1d6</v>
      </c>
    </row>
    <row r="25" spans="1:11" s="173" customFormat="1" ht="21" customHeight="1" thickBot="1">
      <c r="A25" s="443"/>
      <c r="B25" s="350" t="s">
        <v>266</v>
      </c>
      <c r="C25" s="522"/>
      <c r="D25" s="351" t="str">
        <f>基本!$K$2+2+$L$13 &amp; "+" &amp; $I$13 &amp; "d" &amp; $K$13</f>
        <v>27+2d10</v>
      </c>
      <c r="E25" s="352" t="str">
        <f>基本!$K$2+2+$L$13 &amp; "+" &amp; $I$13 &amp; "d" &amp; $K$13</f>
        <v>27+2d10</v>
      </c>
      <c r="F25" s="351" t="str">
        <f>基本!$K$2+2+$L$13 &amp; "+" &amp; $I$13 &amp; "d" &amp; $K$13&amp;"+1d6"</f>
        <v>27+2d10+1d6</v>
      </c>
      <c r="G25" s="353" t="str">
        <f>基本!$K$2+2+$L$13 &amp; "+" &amp; $I$13 &amp; "d" &amp; $K$13&amp;"+1d6"</f>
        <v>27+2d10+1d6</v>
      </c>
    </row>
    <row r="26" spans="1:11" s="173" customFormat="1" ht="21" customHeight="1">
      <c r="A26" s="442" t="s">
        <v>600</v>
      </c>
      <c r="B26" s="344" t="s">
        <v>2</v>
      </c>
      <c r="C26" s="486" t="s">
        <v>602</v>
      </c>
      <c r="D26" s="345" t="str">
        <f>基本!$K$2+$L$14 &amp; IF($I$14 =0,"","+" &amp; $I$14 &amp; "d" &amp; $K$14)</f>
        <v>45+4d6</v>
      </c>
      <c r="E26" s="346" t="str">
        <f>基本!$K$2+$L$14 &amp; IF($I$14 =0,"","+" &amp; $I$14 &amp; "d" &amp; $K$14)</f>
        <v>45+4d6</v>
      </c>
      <c r="F26" s="345" t="str">
        <f>基本!$K$2+6+$L$14 &amp; IF($I$14 =0,"","+" &amp; $I$14 &amp; "d" &amp; $K$14)</f>
        <v>51+4d6</v>
      </c>
      <c r="G26" s="347" t="str">
        <f>基本!$K$2+6+$L$14 &amp; IF($I$14 =0,"","+" &amp; $I$14 &amp; "d" &amp; $K$14)</f>
        <v>51+4d6</v>
      </c>
    </row>
    <row r="27" spans="1:11" s="173" customFormat="1" ht="21" customHeight="1" thickBot="1">
      <c r="A27" s="443"/>
      <c r="B27" s="340" t="s">
        <v>266</v>
      </c>
      <c r="C27" s="487"/>
      <c r="D27" s="341" t="str">
        <f>基本!$K$2+2+$L$14 &amp; IF($I$14 =0,"","+" &amp; $I$14 &amp; "d" &amp; $K$14)</f>
        <v>47+4d6</v>
      </c>
      <c r="E27" s="342" t="str">
        <f>基本!$K$2+2+$L$14 &amp; IF($I$14 =0,"","+" &amp; $I$14 &amp; "d" &amp; $K$14)</f>
        <v>47+4d6</v>
      </c>
      <c r="F27" s="341" t="str">
        <f>基本!$K$2+2+6+$L$14 &amp; IF($I$14 =0,"","+" &amp; $I$14 &amp; "d" &amp; $K$14)</f>
        <v>53+4d6</v>
      </c>
      <c r="G27" s="343" t="str">
        <f>基本!$K$2+2+6+$L$14 &amp; IF($I$14 =0,"","+" &amp; $I$14 &amp; "d" &amp; $K$14)</f>
        <v>53+4d6</v>
      </c>
    </row>
    <row r="28" spans="1:11" s="173" customFormat="1" ht="21" customHeight="1">
      <c r="A28" s="520" t="s">
        <v>113</v>
      </c>
      <c r="B28" s="348" t="s">
        <v>2</v>
      </c>
      <c r="C28" s="521" t="str">
        <f>IF($I$15 = 0,"", $I$15)</f>
        <v>精神</v>
      </c>
      <c r="D28" s="111" t="str">
        <f>$L$13 &amp; "+" &amp; $I$13 &amp; "d" &amp; $K$13</f>
        <v>23+2d10</v>
      </c>
      <c r="E28" s="216" t="str">
        <f>$L$13 &amp; "+" &amp; $I$13 &amp; "d" &amp; $K$13</f>
        <v>23+2d10</v>
      </c>
      <c r="F28" s="111" t="str">
        <f>$L$13 &amp; "+" &amp; $I$13 &amp; "d" &amp; $K$13&amp;"+1d6"</f>
        <v>23+2d10+1d6</v>
      </c>
      <c r="G28" s="158" t="str">
        <f>$L$13 &amp; "+" &amp; $I$13 &amp; "d" &amp; $K$13&amp;"+1d6"</f>
        <v>23+2d10+1d6</v>
      </c>
    </row>
    <row r="29" spans="1:11" s="173" customFormat="1" ht="21" customHeight="1" thickBot="1">
      <c r="A29" s="479"/>
      <c r="B29" s="350" t="s">
        <v>266</v>
      </c>
      <c r="C29" s="522"/>
      <c r="D29" s="351" t="str">
        <f>2+$L$13 &amp; "+" &amp; $I$13 &amp; "d" &amp; $K$13</f>
        <v>25+2d10</v>
      </c>
      <c r="E29" s="352" t="str">
        <f>2+$L$13 &amp; "+" &amp; $I$13 &amp; "d" &amp; $K$13</f>
        <v>25+2d10</v>
      </c>
      <c r="F29" s="351" t="str">
        <f>2+$L$13 &amp; "+" &amp; $I$13 &amp; "d" &amp; $K$13&amp;"+1d6"</f>
        <v>25+2d10+1d6</v>
      </c>
      <c r="G29" s="353" t="str">
        <f>2+$L$13 &amp; "+" &amp; $I$13 &amp; "d" &amp; $K$13&amp;"+1d6"</f>
        <v>25+2d10+1d6</v>
      </c>
    </row>
    <row r="30" spans="1:11" s="173" customFormat="1" ht="21" customHeight="1">
      <c r="A30" s="478" t="s">
        <v>603</v>
      </c>
      <c r="B30" s="344" t="s">
        <v>2</v>
      </c>
      <c r="C30" s="486" t="s">
        <v>602</v>
      </c>
      <c r="D30" s="345" t="str">
        <f>$L$14 &amp; IF($I$14 = 0,"","+" &amp; $I$14 &amp; "d" &amp; $K$14)</f>
        <v>43+4d6</v>
      </c>
      <c r="E30" s="346" t="str">
        <f>$L$14 &amp; IF($I$14 = 0,"","+" &amp; $I$14 &amp; "d" &amp; $K$14)</f>
        <v>43+4d6</v>
      </c>
      <c r="F30" s="345" t="str">
        <f>6+$L$14 &amp; IF($I$14 = 0,"","+" &amp; $I$14 &amp; "d" &amp; $K$14)</f>
        <v>49+4d6</v>
      </c>
      <c r="G30" s="347" t="str">
        <f>6+$L$14 &amp; IF($I$14 = 0,"","+" &amp; $I$14 &amp; "d" &amp; $K$14)</f>
        <v>49+4d6</v>
      </c>
    </row>
    <row r="31" spans="1:11" s="173" customFormat="1" ht="21" customHeight="1" thickBot="1">
      <c r="A31" s="479"/>
      <c r="B31" s="340" t="s">
        <v>266</v>
      </c>
      <c r="C31" s="487"/>
      <c r="D31" s="106" t="str">
        <f>2+$L$14 &amp; IF($I$14 = 0,"","+" &amp; $I$14 &amp; "d" &amp; $K$14)</f>
        <v>45+4d6</v>
      </c>
      <c r="E31" s="217" t="str">
        <f>2+$L$14 &amp; IF($I$14 = 0,"","+" &amp; $I$14 &amp; "d" &amp; $K$14)</f>
        <v>45+4d6</v>
      </c>
      <c r="F31" s="106" t="str">
        <f>2+6+$L$14 &amp; IF($I$14 = 0,"","+" &amp; $I$14 &amp; "d" &amp; $K$14)</f>
        <v>51+4d6</v>
      </c>
      <c r="G31" s="103" t="str">
        <f>2+6+$L$14 &amp; IF($I$14 = 0,"","+" &amp; $I$14 &amp; "d" &amp; $K$14)</f>
        <v>51+4d6</v>
      </c>
    </row>
    <row r="32" spans="1:11" s="203" customFormat="1" ht="9.75" customHeight="1">
      <c r="A32" s="480"/>
      <c r="B32" s="480"/>
      <c r="C32" s="480"/>
      <c r="D32" s="480"/>
      <c r="E32" s="480"/>
      <c r="F32" s="480"/>
      <c r="G32" s="480"/>
      <c r="H32" s="202"/>
    </row>
    <row r="33" spans="1:12" s="205" customFormat="1" ht="14.25">
      <c r="A33" s="362" t="s">
        <v>298</v>
      </c>
      <c r="B33" s="362"/>
      <c r="C33" s="362"/>
      <c r="D33" s="362"/>
      <c r="E33" s="362"/>
      <c r="F33" s="362"/>
      <c r="G33" s="362"/>
      <c r="H33" s="204"/>
      <c r="I33" s="204"/>
      <c r="J33" s="204"/>
      <c r="K33" s="204"/>
    </row>
    <row r="34" spans="1:12" s="173" customFormat="1" ht="14.25">
      <c r="A34" s="362" t="s">
        <v>189</v>
      </c>
      <c r="B34" s="362"/>
      <c r="C34" s="362"/>
      <c r="D34" s="362"/>
      <c r="E34" s="362"/>
      <c r="F34" s="362"/>
      <c r="G34" s="362"/>
      <c r="H34" s="91"/>
    </row>
    <row r="35" spans="1:12" s="205" customFormat="1" ht="14.25">
      <c r="A35" s="362" t="s">
        <v>220</v>
      </c>
      <c r="B35" s="362"/>
      <c r="C35" s="362"/>
      <c r="D35" s="362"/>
      <c r="E35" s="362"/>
      <c r="F35" s="362"/>
      <c r="G35" s="362"/>
      <c r="H35" s="204"/>
    </row>
    <row r="36" spans="1:12" s="173" customFormat="1" ht="14.25">
      <c r="A36" s="362" t="s">
        <v>440</v>
      </c>
      <c r="B36" s="362"/>
      <c r="C36" s="362"/>
      <c r="D36" s="362"/>
      <c r="E36" s="362"/>
      <c r="F36" s="362"/>
      <c r="G36" s="362"/>
      <c r="H36" s="91"/>
    </row>
    <row r="37" spans="1:12" s="173" customFormat="1" ht="14.25">
      <c r="A37" s="362" t="s">
        <v>535</v>
      </c>
      <c r="B37" s="362"/>
      <c r="C37" s="362"/>
      <c r="D37" s="362"/>
      <c r="E37" s="362"/>
      <c r="F37" s="362"/>
      <c r="G37" s="362"/>
    </row>
    <row r="38" spans="1:12" s="173" customFormat="1" ht="14.25">
      <c r="A38" s="362" t="s">
        <v>366</v>
      </c>
      <c r="B38" s="362"/>
      <c r="C38" s="362"/>
      <c r="D38" s="362"/>
      <c r="E38" s="362"/>
      <c r="F38" s="362"/>
      <c r="G38" s="362"/>
      <c r="H38" s="91"/>
      <c r="I38" s="91"/>
    </row>
    <row r="39" spans="1:12" s="173" customFormat="1" ht="14.25">
      <c r="A39" s="362" t="s">
        <v>215</v>
      </c>
      <c r="B39" s="362"/>
      <c r="C39" s="362"/>
      <c r="D39" s="362"/>
      <c r="E39" s="362"/>
      <c r="F39" s="362"/>
      <c r="G39" s="362"/>
      <c r="H39" s="91"/>
      <c r="I39" s="91"/>
    </row>
    <row r="40" spans="1:12" s="173" customFormat="1" ht="9.75" customHeight="1">
      <c r="A40" s="377"/>
      <c r="B40" s="377"/>
      <c r="C40" s="377"/>
      <c r="D40" s="377"/>
      <c r="E40" s="377"/>
      <c r="F40" s="377"/>
      <c r="G40" s="377"/>
      <c r="H40" s="91"/>
      <c r="I40" s="91"/>
      <c r="J40" s="91"/>
      <c r="K40" s="91"/>
    </row>
    <row r="41" spans="1:12">
      <c r="A41" s="473" t="s">
        <v>49</v>
      </c>
      <c r="B41" s="474"/>
      <c r="C41" s="474"/>
      <c r="D41" s="474"/>
      <c r="E41" s="474"/>
      <c r="F41" s="474"/>
      <c r="G41" s="475"/>
    </row>
    <row r="42" spans="1:12" s="173" customFormat="1" ht="21" customHeight="1">
      <c r="A42" s="580" t="s">
        <v>163</v>
      </c>
      <c r="B42" s="581"/>
      <c r="C42" s="581"/>
      <c r="D42" s="581"/>
      <c r="E42" s="581"/>
      <c r="F42" s="581"/>
      <c r="G42" s="582"/>
      <c r="H42" s="91"/>
      <c r="I42" s="91"/>
      <c r="J42" s="91"/>
      <c r="K42" s="91"/>
    </row>
    <row r="43" spans="1:12" s="173" customFormat="1" ht="21" customHeight="1">
      <c r="A43" s="583" t="s">
        <v>164</v>
      </c>
      <c r="B43" s="584"/>
      <c r="C43" s="584"/>
      <c r="D43" s="584"/>
      <c r="E43" s="584"/>
      <c r="F43" s="584"/>
      <c r="G43" s="585"/>
      <c r="H43" s="91"/>
      <c r="I43" s="91"/>
      <c r="J43" s="91"/>
      <c r="K43" s="91"/>
    </row>
    <row r="44" spans="1:12" s="174" customFormat="1" ht="8.25" customHeight="1">
      <c r="A44" s="481"/>
      <c r="B44" s="482"/>
      <c r="C44" s="482"/>
      <c r="D44" s="482"/>
      <c r="E44" s="482"/>
      <c r="F44" s="482"/>
      <c r="G44" s="483"/>
      <c r="L44" s="175"/>
    </row>
    <row r="45" spans="1:12" s="174" customFormat="1" ht="13.5" customHeight="1">
      <c r="A45" s="481" t="s">
        <v>359</v>
      </c>
      <c r="B45" s="482"/>
      <c r="C45" s="482"/>
      <c r="D45" s="482"/>
      <c r="E45" s="482"/>
      <c r="F45" s="482"/>
      <c r="G45" s="483"/>
      <c r="L45" s="175"/>
    </row>
    <row r="46" spans="1:12" s="174" customFormat="1" ht="13.5" customHeight="1">
      <c r="A46" s="481" t="s">
        <v>328</v>
      </c>
      <c r="B46" s="482"/>
      <c r="C46" s="482"/>
      <c r="D46" s="482"/>
      <c r="E46" s="482"/>
      <c r="F46" s="482"/>
      <c r="G46" s="483"/>
      <c r="L46" s="175"/>
    </row>
    <row r="47" spans="1:12" s="174" customFormat="1" ht="7.5" customHeight="1">
      <c r="A47" s="481"/>
      <c r="B47" s="482"/>
      <c r="C47" s="482"/>
      <c r="D47" s="482"/>
      <c r="E47" s="482"/>
      <c r="F47" s="482"/>
      <c r="G47" s="483"/>
      <c r="L47" s="175"/>
    </row>
    <row r="48" spans="1:12" s="91" customFormat="1" ht="21">
      <c r="A48" s="130" t="s">
        <v>114</v>
      </c>
      <c r="B48" s="154">
        <f>$B$1</f>
        <v>5</v>
      </c>
      <c r="C48" s="132" t="s">
        <v>40</v>
      </c>
      <c r="D48" s="133" t="str">
        <f>$E$1</f>
        <v>一日毎</v>
      </c>
      <c r="E48" s="577" t="str">
        <f>$B$2</f>
        <v>スラーズ・ギャンビット</v>
      </c>
      <c r="F48" s="578"/>
      <c r="G48" s="579"/>
      <c r="L48" s="143"/>
    </row>
  </sheetData>
  <mergeCells count="47">
    <mergeCell ref="A28:A29"/>
    <mergeCell ref="C28:C29"/>
    <mergeCell ref="A30:A31"/>
    <mergeCell ref="C30:C31"/>
    <mergeCell ref="A37:G37"/>
    <mergeCell ref="A32:G32"/>
    <mergeCell ref="A33:G33"/>
    <mergeCell ref="A34:G34"/>
    <mergeCell ref="A38:G38"/>
    <mergeCell ref="A39:G39"/>
    <mergeCell ref="A35:G35"/>
    <mergeCell ref="A36:G36"/>
    <mergeCell ref="E48:G48"/>
    <mergeCell ref="A41:G41"/>
    <mergeCell ref="A47:G47"/>
    <mergeCell ref="A46:G46"/>
    <mergeCell ref="A40:G40"/>
    <mergeCell ref="A42:G42"/>
    <mergeCell ref="A43:G43"/>
    <mergeCell ref="A44:G44"/>
    <mergeCell ref="A45:G45"/>
    <mergeCell ref="J11:K11"/>
    <mergeCell ref="B13:G13"/>
    <mergeCell ref="B14:G14"/>
    <mergeCell ref="B15:G15"/>
    <mergeCell ref="B16:G16"/>
    <mergeCell ref="B12:G12"/>
    <mergeCell ref="H4:L4"/>
    <mergeCell ref="B6:D6"/>
    <mergeCell ref="B7:D7"/>
    <mergeCell ref="B8:G8"/>
    <mergeCell ref="B9:G9"/>
    <mergeCell ref="J9:K9"/>
    <mergeCell ref="D18:E18"/>
    <mergeCell ref="F18:G18"/>
    <mergeCell ref="A20:A23"/>
    <mergeCell ref="C20:C23"/>
    <mergeCell ref="B1:C1"/>
    <mergeCell ref="F1:G1"/>
    <mergeCell ref="B2:G2"/>
    <mergeCell ref="B4:G4"/>
    <mergeCell ref="B5:G5"/>
    <mergeCell ref="A24:A25"/>
    <mergeCell ref="C24:C25"/>
    <mergeCell ref="A26:A27"/>
    <mergeCell ref="C26:C27"/>
    <mergeCell ref="A18:C19"/>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53"/>
  <sheetViews>
    <sheetView zoomScaleNormal="100" workbookViewId="0">
      <selection activeCell="B2" sqref="B2:G2"/>
    </sheetView>
  </sheetViews>
  <sheetFormatPr defaultColWidth="9" defaultRowHeight="13.5"/>
  <cols>
    <col min="1" max="1" width="7.875" style="143" customWidth="1"/>
    <col min="2" max="2" width="8.5" style="143" customWidth="1"/>
    <col min="3" max="3" width="6.625" style="143" customWidth="1"/>
    <col min="4" max="4" width="15.75" style="14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43" customWidth="1"/>
    <col min="13" max="13" width="9.25" style="143" customWidth="1"/>
    <col min="14" max="14" width="12.375" style="143" customWidth="1"/>
    <col min="15" max="16384" width="9" style="143"/>
  </cols>
  <sheetData>
    <row r="1" spans="1:17" ht="21">
      <c r="A1" s="127" t="s">
        <v>114</v>
      </c>
      <c r="B1" s="563">
        <v>9</v>
      </c>
      <c r="C1" s="564"/>
      <c r="D1" s="128" t="s">
        <v>40</v>
      </c>
      <c r="E1" s="129" t="s">
        <v>125</v>
      </c>
      <c r="F1" s="565"/>
      <c r="G1" s="566"/>
      <c r="H1" s="96" t="s">
        <v>55</v>
      </c>
    </row>
    <row r="2" spans="1:17" ht="24.75" customHeight="1">
      <c r="A2" s="128" t="s">
        <v>0</v>
      </c>
      <c r="B2" s="567" t="s">
        <v>294</v>
      </c>
      <c r="C2" s="567"/>
      <c r="D2" s="567"/>
      <c r="E2" s="567"/>
      <c r="F2" s="567"/>
      <c r="G2" s="567"/>
      <c r="H2" s="96" t="s">
        <v>56</v>
      </c>
    </row>
    <row r="3" spans="1:17" ht="19.5" customHeight="1">
      <c r="A3" s="102" t="s">
        <v>48</v>
      </c>
      <c r="B3" s="91"/>
      <c r="C3" s="91"/>
      <c r="D3" s="91"/>
      <c r="I3" s="96"/>
    </row>
    <row r="4" spans="1:17">
      <c r="A4" s="76" t="s">
        <v>46</v>
      </c>
      <c r="B4" s="439" t="s">
        <v>168</v>
      </c>
      <c r="C4" s="440"/>
      <c r="D4" s="440"/>
      <c r="E4" s="440"/>
      <c r="F4" s="440"/>
      <c r="G4" s="441"/>
      <c r="H4" s="381" t="s">
        <v>201</v>
      </c>
      <c r="I4" s="382"/>
      <c r="J4" s="382"/>
      <c r="K4" s="382"/>
      <c r="L4" s="383"/>
    </row>
    <row r="5" spans="1:17">
      <c r="A5" s="77" t="s">
        <v>39</v>
      </c>
      <c r="B5" s="439" t="s">
        <v>169</v>
      </c>
      <c r="C5" s="440"/>
      <c r="D5" s="440"/>
      <c r="E5" s="440"/>
      <c r="F5" s="440"/>
      <c r="G5" s="441"/>
      <c r="H5" s="162" t="s">
        <v>43</v>
      </c>
      <c r="I5" s="163" t="s">
        <v>83</v>
      </c>
      <c r="J5" s="163">
        <v>10</v>
      </c>
    </row>
    <row r="6" spans="1:17">
      <c r="A6" s="77" t="s">
        <v>7</v>
      </c>
      <c r="B6" s="439" t="s">
        <v>5</v>
      </c>
      <c r="C6" s="440"/>
      <c r="D6" s="441"/>
      <c r="E6" s="162" t="s">
        <v>43</v>
      </c>
      <c r="F6" s="161" t="str">
        <f>$I$5</f>
        <v>遠隔範囲</v>
      </c>
      <c r="G6" s="161">
        <f>IF($J$5 = 0,"", $J$5)</f>
        <v>10</v>
      </c>
      <c r="H6" s="162" t="s">
        <v>66</v>
      </c>
      <c r="I6" s="163" t="s">
        <v>67</v>
      </c>
      <c r="J6" s="210" t="s">
        <v>271</v>
      </c>
    </row>
    <row r="7" spans="1:17">
      <c r="A7" s="78" t="s">
        <v>6</v>
      </c>
      <c r="B7" s="439" t="s">
        <v>262</v>
      </c>
      <c r="C7" s="440"/>
      <c r="D7" s="441"/>
      <c r="E7" s="162" t="s">
        <v>66</v>
      </c>
      <c r="F7" s="161" t="str">
        <f>IF($I$6 = 0,"", $I$6)</f>
        <v>爆発</v>
      </c>
      <c r="G7" s="159" t="str">
        <f>IF($J$6 = 0,"", $J$6)</f>
        <v>1 or 2</v>
      </c>
      <c r="H7" s="162" t="s">
        <v>85</v>
      </c>
      <c r="I7" s="325" t="s">
        <v>437</v>
      </c>
      <c r="J7" s="96" t="s">
        <v>62</v>
      </c>
      <c r="L7" s="191" t="s">
        <v>193</v>
      </c>
    </row>
    <row r="8" spans="1:17">
      <c r="A8" s="78" t="s">
        <v>8</v>
      </c>
      <c r="B8" s="439" t="s">
        <v>178</v>
      </c>
      <c r="C8" s="440"/>
      <c r="D8" s="440"/>
      <c r="E8" s="440"/>
      <c r="F8" s="440"/>
      <c r="G8" s="441"/>
      <c r="H8" s="162" t="s">
        <v>51</v>
      </c>
      <c r="I8" s="163" t="s">
        <v>17</v>
      </c>
      <c r="J8" s="161">
        <f>IF($I$8 = "筋力",基本!$C$5,IF($I$8 = "耐久力",基本!$C$6,IF($I$8 = "敏捷力",基本!$C$7,IF($I$8 = "知力",基本!$C$8,IF($I$8 = "判断力",基本!$C$9,IF($I$8 = "魅力",基本!$C$10,""))))))</f>
        <v>6</v>
      </c>
      <c r="K8" s="163" t="s">
        <v>19</v>
      </c>
      <c r="L8" s="192">
        <f>$J$8+$L$9+$I$9</f>
        <v>20</v>
      </c>
    </row>
    <row r="9" spans="1:17" ht="14.25" customHeight="1">
      <c r="A9" s="79" t="s">
        <v>9</v>
      </c>
      <c r="B9" s="444" t="s">
        <v>179</v>
      </c>
      <c r="C9" s="445"/>
      <c r="D9" s="445"/>
      <c r="E9" s="445"/>
      <c r="F9" s="445"/>
      <c r="G9" s="446"/>
      <c r="H9" s="162" t="s">
        <v>58</v>
      </c>
      <c r="I9" s="163">
        <v>0</v>
      </c>
      <c r="J9" s="381" t="s">
        <v>53</v>
      </c>
      <c r="K9" s="383"/>
      <c r="L9" s="161">
        <f>IF($I$7=基本!$F$4,基本!$O$7,IF($I$7=基本!$F$13,基本!$O$16,IF($I$7=基本!$F$22,基本!$O$25,IF($I$7=基本!$F$31,基本!$O$34,IF($I$7=基本!$F$40,基本!$O$43,0)))))</f>
        <v>14</v>
      </c>
    </row>
    <row r="10" spans="1:17" ht="14.25" customHeight="1">
      <c r="A10" s="80"/>
      <c r="B10" s="481" t="s">
        <v>170</v>
      </c>
      <c r="C10" s="482"/>
      <c r="D10" s="482"/>
      <c r="E10" s="482"/>
      <c r="F10" s="482"/>
      <c r="G10" s="483"/>
      <c r="H10" s="164" t="s">
        <v>52</v>
      </c>
      <c r="I10" s="163" t="s">
        <v>17</v>
      </c>
      <c r="J10" s="100">
        <f>IF($I$10 = "筋力",基本!$C$5,IF($I$10 = "耐久力",基本!$C$6,IF($I$10 = "敏捷力",基本!$C$7,IF($I$10 = "知力",基本!$C$8,IF($I$10 = "判断力",基本!$C$9,IF($I$10 = "魅力",基本!$C$10,""))))))</f>
        <v>6</v>
      </c>
      <c r="L10" s="91"/>
    </row>
    <row r="11" spans="1:17" ht="6.75" customHeight="1">
      <c r="A11" s="80"/>
      <c r="B11" s="481"/>
      <c r="C11" s="482"/>
      <c r="D11" s="482"/>
      <c r="E11" s="482"/>
      <c r="F11" s="482"/>
      <c r="G11" s="483"/>
      <c r="H11" s="162" t="s">
        <v>59</v>
      </c>
      <c r="I11" s="163">
        <v>0</v>
      </c>
      <c r="J11" s="381" t="s">
        <v>54</v>
      </c>
      <c r="K11" s="383"/>
      <c r="L11" s="161">
        <f>IF($I$7=基本!$F$4,基本!$O$9,IF($I$7=基本!$F$13,基本!$O$18,IF($I$7=基本!$F$22,基本!$O$27,IF($I$7=基本!$F$31,基本!$O$36,IF($I$7=基本!$F$40,基本!$O$45,0)))))</f>
        <v>24</v>
      </c>
    </row>
    <row r="12" spans="1:17" ht="17.25">
      <c r="A12" s="80"/>
      <c r="B12" s="548" t="str">
        <f>"　　　　　　　　　　　　　　　目標は "&amp;$L$15+1 &amp;" マス横滑り"</f>
        <v>　　　　　　　　　　　　　　　目標は 6 マス横滑り</v>
      </c>
      <c r="C12" s="549"/>
      <c r="D12" s="549"/>
      <c r="E12" s="549"/>
      <c r="F12" s="549"/>
      <c r="G12" s="550"/>
      <c r="H12" s="173"/>
      <c r="I12" s="173"/>
      <c r="J12" s="173"/>
      <c r="K12" s="173"/>
      <c r="L12" s="191" t="s">
        <v>193</v>
      </c>
      <c r="M12" s="173"/>
      <c r="N12" s="173"/>
      <c r="O12" s="173"/>
      <c r="P12" s="173"/>
      <c r="Q12" s="173"/>
    </row>
    <row r="13" spans="1:17" ht="9" customHeight="1">
      <c r="A13" s="81"/>
      <c r="B13" s="502"/>
      <c r="C13" s="503"/>
      <c r="D13" s="503"/>
      <c r="E13" s="503"/>
      <c r="F13" s="503"/>
      <c r="G13" s="504"/>
      <c r="H13" s="177" t="s">
        <v>86</v>
      </c>
      <c r="I13" s="163">
        <v>3</v>
      </c>
      <c r="J13" s="162" t="s">
        <v>44</v>
      </c>
      <c r="K13" s="163">
        <v>8</v>
      </c>
      <c r="L13" s="192">
        <f>$J$10+$L$11+$I$11</f>
        <v>30</v>
      </c>
      <c r="M13" s="105"/>
    </row>
    <row r="14" spans="1:17">
      <c r="A14" s="80" t="s">
        <v>61</v>
      </c>
      <c r="B14" s="481" t="s">
        <v>171</v>
      </c>
      <c r="C14" s="482"/>
      <c r="D14" s="482"/>
      <c r="E14" s="482"/>
      <c r="F14" s="482"/>
      <c r="G14" s="483"/>
      <c r="H14" s="162" t="s">
        <v>50</v>
      </c>
      <c r="I14" s="32">
        <f>IF($I$7=基本!$F$4,基本!$L$11,IF($I$7=基本!$F$13,基本!$L$20,IF($I$7=基本!$F$22,基本!$L$29,IF($I$7=基本!$F$31,基本!$L$38,IF($I$7=基本!$F$40,基本!$L$47,0)))))</f>
        <v>4</v>
      </c>
      <c r="J14" s="177" t="s">
        <v>196</v>
      </c>
      <c r="K14" s="32">
        <f>IF($I$7=基本!$F$4,基本!$N$11,IF($I$7=基本!$F$13,基本!$N$20,IF($I$7=基本!$F$22,基本!$N$29,IF($I$7=基本!$F$31,基本!$N$38,IF($I$7=基本!$F$40,基本!$N$47,0)))))</f>
        <v>6</v>
      </c>
      <c r="L14" s="192">
        <f>$J$10+$L$11+$I$11+($I$13*$K$13)</f>
        <v>54</v>
      </c>
      <c r="M14" s="105"/>
    </row>
    <row r="15" spans="1:17">
      <c r="A15" s="80"/>
      <c r="B15" s="481" t="s">
        <v>173</v>
      </c>
      <c r="C15" s="482"/>
      <c r="D15" s="482"/>
      <c r="E15" s="482"/>
      <c r="F15" s="482"/>
      <c r="G15" s="483"/>
      <c r="H15" s="162" t="s">
        <v>60</v>
      </c>
      <c r="I15" s="163" t="s">
        <v>80</v>
      </c>
      <c r="J15" s="177" t="s">
        <v>195</v>
      </c>
      <c r="K15" s="179" t="s">
        <v>14</v>
      </c>
      <c r="L15" s="176">
        <f>IF(K15="",0,VLOOKUP(K15,基本!$A$5:'基本'!$C$10,3,FALSE))</f>
        <v>5</v>
      </c>
    </row>
    <row r="16" spans="1:17" ht="14.25" customHeight="1">
      <c r="A16" s="80"/>
      <c r="B16" s="587" t="s">
        <v>235</v>
      </c>
      <c r="C16" s="482"/>
      <c r="D16" s="482"/>
      <c r="E16" s="482"/>
      <c r="F16" s="482"/>
      <c r="G16" s="483"/>
      <c r="H16" s="143"/>
      <c r="I16" s="143"/>
      <c r="J16" s="143"/>
      <c r="K16" s="143"/>
    </row>
    <row r="17" spans="1:11" ht="13.5" customHeight="1">
      <c r="A17" s="109"/>
      <c r="B17" s="481" t="s">
        <v>172</v>
      </c>
      <c r="C17" s="482"/>
      <c r="D17" s="482"/>
      <c r="E17" s="482"/>
      <c r="F17" s="482"/>
      <c r="G17" s="483"/>
      <c r="H17" s="143"/>
      <c r="I17" s="143"/>
      <c r="J17" s="143"/>
      <c r="K17" s="143"/>
    </row>
    <row r="18" spans="1:11" ht="13.5" customHeight="1">
      <c r="A18" s="78" t="s">
        <v>150</v>
      </c>
      <c r="B18" s="505" t="s">
        <v>151</v>
      </c>
      <c r="C18" s="506"/>
      <c r="D18" s="506"/>
      <c r="E18" s="506"/>
      <c r="F18" s="506"/>
      <c r="G18" s="507"/>
      <c r="H18" s="143"/>
      <c r="I18" s="143"/>
      <c r="J18" s="143"/>
      <c r="K18" s="143"/>
    </row>
    <row r="19" spans="1:11" s="173" customFormat="1" ht="18.75" customHeight="1">
      <c r="A19" s="109"/>
      <c r="B19" s="499" t="s">
        <v>517</v>
      </c>
      <c r="C19" s="500"/>
      <c r="D19" s="500"/>
      <c r="E19" s="500"/>
      <c r="F19" s="500"/>
      <c r="G19" s="501"/>
    </row>
    <row r="20" spans="1:11" s="173" customFormat="1" ht="4.5" customHeight="1">
      <c r="A20" s="81"/>
      <c r="B20" s="469"/>
      <c r="C20" s="468"/>
      <c r="D20" s="468"/>
      <c r="E20" s="468"/>
      <c r="F20" s="468"/>
      <c r="G20" s="470"/>
    </row>
    <row r="21" spans="1:11" ht="14.25" thickBot="1">
      <c r="A21" s="136" t="s">
        <v>47</v>
      </c>
      <c r="E21" s="92"/>
      <c r="H21" s="143"/>
      <c r="I21" s="143"/>
      <c r="J21" s="143"/>
      <c r="K21" s="143"/>
    </row>
    <row r="22" spans="1:11" s="173" customFormat="1" ht="13.5" customHeight="1">
      <c r="A22" s="557" t="str">
        <f>$B$2</f>
        <v xml:space="preserve">ハウリング・ハリケーン </v>
      </c>
      <c r="B22" s="558"/>
      <c r="C22" s="559"/>
      <c r="D22" s="497" t="s">
        <v>2</v>
      </c>
      <c r="E22" s="498"/>
      <c r="F22" s="484" t="s">
        <v>272</v>
      </c>
      <c r="G22" s="485"/>
    </row>
    <row r="23" spans="1:11" s="173" customFormat="1" ht="15" customHeight="1" thickBot="1">
      <c r="A23" s="560"/>
      <c r="B23" s="561"/>
      <c r="C23" s="562"/>
      <c r="D23" s="160" t="s">
        <v>2</v>
      </c>
      <c r="E23" s="215" t="s">
        <v>1</v>
      </c>
      <c r="F23" s="160" t="s">
        <v>2</v>
      </c>
      <c r="G23" s="214" t="s">
        <v>1</v>
      </c>
    </row>
    <row r="24" spans="1:11" s="173" customFormat="1" ht="21" customHeight="1">
      <c r="A24" s="450" t="s">
        <v>42</v>
      </c>
      <c r="B24" s="225" t="s">
        <v>113</v>
      </c>
      <c r="C24" s="488" t="str">
        <f>$K$8</f>
        <v>頑健</v>
      </c>
      <c r="D24" s="222" t="str">
        <f>$L$8 &amp; "+1d20"</f>
        <v>20+1d20</v>
      </c>
      <c r="E24" s="223" t="str">
        <f>$L$8+2 &amp; "+1d20"</f>
        <v>22+1d20</v>
      </c>
      <c r="F24" s="222" t="str">
        <f>$L$8 &amp; "+1d20"</f>
        <v>20+1d20</v>
      </c>
      <c r="G24" s="224" t="str">
        <f>$L$8+2 &amp; "+1d20"</f>
        <v>22+1d20</v>
      </c>
    </row>
    <row r="25" spans="1:11" s="173" customFormat="1" ht="21" customHeight="1">
      <c r="A25" s="451"/>
      <c r="B25" s="319" t="s">
        <v>427</v>
      </c>
      <c r="C25" s="489"/>
      <c r="D25" s="313" t="str">
        <f>$L$8 -5&amp; "+1d20"</f>
        <v>15+1d20</v>
      </c>
      <c r="E25" s="314" t="str">
        <f>$L$8+2 -5&amp; "+1d20"</f>
        <v>17+1d20</v>
      </c>
      <c r="F25" s="313" t="str">
        <f>$L$8 -5&amp; "+1d20"</f>
        <v>15+1d20</v>
      </c>
      <c r="G25" s="315" t="str">
        <f>$L$8+2 -5&amp; "+1d20"</f>
        <v>17+1d20</v>
      </c>
    </row>
    <row r="26" spans="1:11" s="173" customFormat="1" ht="21" customHeight="1">
      <c r="A26" s="451"/>
      <c r="B26" s="321" t="s">
        <v>365</v>
      </c>
      <c r="C26" s="489"/>
      <c r="D26" s="316" t="str">
        <f>3+$L$8 &amp; "+1d20"</f>
        <v>23+1d20</v>
      </c>
      <c r="E26" s="317" t="str">
        <f>3+$L$8+2 &amp; "+1d20"</f>
        <v>25+1d20</v>
      </c>
      <c r="F26" s="316" t="str">
        <f>3+$L$8 &amp; "+1d20"</f>
        <v>23+1d20</v>
      </c>
      <c r="G26" s="318" t="str">
        <f>3+$L$8+2 &amp; "+1d20"</f>
        <v>25+1d20</v>
      </c>
    </row>
    <row r="27" spans="1:11" s="173" customFormat="1" ht="21" customHeight="1" thickBot="1">
      <c r="A27" s="452"/>
      <c r="B27" s="320" t="s">
        <v>428</v>
      </c>
      <c r="C27" s="490"/>
      <c r="D27" s="226" t="str">
        <f>3+$L$8 -5&amp; "+1d20"</f>
        <v>18+1d20</v>
      </c>
      <c r="E27" s="227" t="str">
        <f>3+$L$8+2 -5&amp; "+1d20"</f>
        <v>20+1d20</v>
      </c>
      <c r="F27" s="226" t="str">
        <f>3+$L$8 -5&amp; "+1d20"</f>
        <v>18+1d20</v>
      </c>
      <c r="G27" s="228" t="str">
        <f>3+$L$8+2 -5&amp; "+1d20"</f>
        <v>20+1d20</v>
      </c>
    </row>
    <row r="28" spans="1:11" s="173" customFormat="1" ht="22.5" customHeight="1">
      <c r="A28" s="442" t="s">
        <v>513</v>
      </c>
      <c r="B28" s="107" t="s">
        <v>4</v>
      </c>
      <c r="C28" s="110" t="str">
        <f>IF($I$15 = 0,"", $I$15)</f>
        <v>雷鳴</v>
      </c>
      <c r="D28" s="111" t="str">
        <f>$L$13 &amp; "+" &amp; $I$13 &amp; "d" &amp; $K$13</f>
        <v>30+3d8</v>
      </c>
      <c r="E28" s="216" t="str">
        <f>$L$13 &amp; "+" &amp; $I$13 &amp; "d" &amp; $K$13</f>
        <v>30+3d8</v>
      </c>
      <c r="F28" s="111" t="str">
        <f>$L$13 &amp; "+" &amp; $I$13 &amp; "d" &amp; $K$13&amp;"+1d6"</f>
        <v>30+3d8+1d6</v>
      </c>
      <c r="G28" s="158" t="str">
        <f>$L$13 &amp; "+" &amp; $I$13 &amp; "d" &amp; $K$13&amp;"+1d6"</f>
        <v>30+3d8+1d6</v>
      </c>
    </row>
    <row r="29" spans="1:11" s="173" customFormat="1" ht="22.5" customHeight="1" thickBot="1">
      <c r="A29" s="443"/>
      <c r="B29" s="104" t="s">
        <v>3</v>
      </c>
      <c r="C29" s="354" t="s">
        <v>604</v>
      </c>
      <c r="D29" s="106" t="str">
        <f>$L$14 &amp; IF($I$14 = 0,"","+" &amp; $I$14 &amp; "d" &amp; $K$14)</f>
        <v>54+4d6</v>
      </c>
      <c r="E29" s="217" t="str">
        <f>$L$14 &amp; IF($I$14 = 0,"","+" &amp; $I$14 &amp; "d" &amp; $K$14)</f>
        <v>54+4d6</v>
      </c>
      <c r="F29" s="106" t="str">
        <f>6+$L$14 &amp; IF($I$14 = 0,"","+" &amp; $I$14 &amp; "d" &amp; $K$14)</f>
        <v>60+4d6</v>
      </c>
      <c r="G29" s="103" t="str">
        <f>6+$L$14 &amp; IF($I$14 = 0,"","+" &amp; $I$14 &amp; "d" &amp; $K$14)</f>
        <v>60+4d6</v>
      </c>
    </row>
    <row r="30" spans="1:11" s="201" customFormat="1" ht="6" customHeight="1">
      <c r="A30" s="480"/>
      <c r="B30" s="480"/>
      <c r="C30" s="480"/>
      <c r="D30" s="480"/>
      <c r="E30" s="480"/>
      <c r="F30" s="480"/>
      <c r="G30" s="480"/>
      <c r="H30" s="200"/>
    </row>
    <row r="31" spans="1:11" s="173" customFormat="1" ht="14.25">
      <c r="A31" s="362" t="s">
        <v>515</v>
      </c>
      <c r="B31" s="362"/>
      <c r="C31" s="362"/>
      <c r="D31" s="362"/>
      <c r="E31" s="362"/>
      <c r="F31" s="362"/>
      <c r="G31" s="362"/>
      <c r="H31" s="91"/>
    </row>
    <row r="32" spans="1:11" s="173" customFormat="1" ht="14.25">
      <c r="A32" s="362" t="s">
        <v>299</v>
      </c>
      <c r="B32" s="362"/>
      <c r="C32" s="362"/>
      <c r="D32" s="362"/>
      <c r="E32" s="362"/>
      <c r="F32" s="362"/>
      <c r="G32" s="362"/>
      <c r="H32" s="91"/>
    </row>
    <row r="33" spans="1:12" s="205" customFormat="1" ht="14.25">
      <c r="A33" s="362" t="s">
        <v>298</v>
      </c>
      <c r="B33" s="362"/>
      <c r="C33" s="362"/>
      <c r="D33" s="362"/>
      <c r="E33" s="362"/>
      <c r="F33" s="362"/>
      <c r="G33" s="362"/>
      <c r="H33" s="204"/>
      <c r="I33" s="204"/>
      <c r="J33" s="204"/>
      <c r="K33" s="204"/>
    </row>
    <row r="34" spans="1:12" s="203" customFormat="1" ht="14.25">
      <c r="A34" s="362" t="s">
        <v>301</v>
      </c>
      <c r="B34" s="362"/>
      <c r="C34" s="362"/>
      <c r="D34" s="362"/>
      <c r="E34" s="362"/>
      <c r="F34" s="362"/>
      <c r="G34" s="362"/>
      <c r="H34" s="202"/>
    </row>
    <row r="35" spans="1:12" s="173" customFormat="1" ht="14.25">
      <c r="A35" s="362" t="s">
        <v>590</v>
      </c>
      <c r="B35" s="362"/>
      <c r="C35" s="362"/>
      <c r="D35" s="362"/>
      <c r="E35" s="362"/>
      <c r="F35" s="362"/>
      <c r="G35" s="362"/>
      <c r="H35" s="91"/>
    </row>
    <row r="36" spans="1:12" s="203" customFormat="1" ht="14.25">
      <c r="A36" s="362" t="s">
        <v>263</v>
      </c>
      <c r="B36" s="362"/>
      <c r="C36" s="362"/>
      <c r="D36" s="362"/>
      <c r="E36" s="362"/>
      <c r="F36" s="362"/>
      <c r="G36" s="362"/>
      <c r="H36" s="202"/>
    </row>
    <row r="37" spans="1:12" s="205" customFormat="1" ht="14.25">
      <c r="A37" s="362" t="s">
        <v>220</v>
      </c>
      <c r="B37" s="362"/>
      <c r="C37" s="362"/>
      <c r="D37" s="362"/>
      <c r="E37" s="362"/>
      <c r="F37" s="362"/>
      <c r="G37" s="362"/>
      <c r="H37" s="204"/>
    </row>
    <row r="38" spans="1:12" s="173" customFormat="1" ht="14.25">
      <c r="A38" s="362" t="s">
        <v>440</v>
      </c>
      <c r="B38" s="362"/>
      <c r="C38" s="362"/>
      <c r="D38" s="362"/>
      <c r="E38" s="362"/>
      <c r="F38" s="362"/>
      <c r="G38" s="362"/>
      <c r="H38" s="91"/>
    </row>
    <row r="39" spans="1:12" s="173" customFormat="1" ht="14.25">
      <c r="A39" s="362" t="s">
        <v>366</v>
      </c>
      <c r="B39" s="362"/>
      <c r="C39" s="362"/>
      <c r="D39" s="362"/>
      <c r="E39" s="362"/>
      <c r="F39" s="362"/>
      <c r="G39" s="362"/>
      <c r="H39" s="91"/>
      <c r="I39" s="91"/>
    </row>
    <row r="40" spans="1:12" s="173" customFormat="1" ht="14.25">
      <c r="A40" s="362" t="s">
        <v>215</v>
      </c>
      <c r="B40" s="362"/>
      <c r="C40" s="362"/>
      <c r="D40" s="362"/>
      <c r="E40" s="362"/>
      <c r="F40" s="362"/>
      <c r="G40" s="362"/>
      <c r="H40" s="91"/>
      <c r="I40" s="91"/>
    </row>
    <row r="41" spans="1:12" s="212" customFormat="1" ht="6" customHeight="1">
      <c r="A41" s="586"/>
      <c r="B41" s="586"/>
      <c r="C41" s="586"/>
      <c r="D41" s="586"/>
      <c r="E41" s="586"/>
      <c r="F41" s="586"/>
      <c r="G41" s="586"/>
      <c r="H41" s="211"/>
      <c r="I41" s="211"/>
      <c r="J41" s="211"/>
      <c r="K41" s="211"/>
    </row>
    <row r="42" spans="1:12" s="173" customFormat="1">
      <c r="A42" s="473" t="s">
        <v>49</v>
      </c>
      <c r="B42" s="474"/>
      <c r="C42" s="474"/>
      <c r="D42" s="474"/>
      <c r="E42" s="474"/>
      <c r="F42" s="474"/>
      <c r="G42" s="475"/>
      <c r="H42" s="91"/>
      <c r="I42" s="91"/>
      <c r="J42" s="91"/>
      <c r="K42" s="91"/>
    </row>
    <row r="43" spans="1:12" s="91" customFormat="1" ht="15.75" customHeight="1">
      <c r="A43" s="447" t="s">
        <v>318</v>
      </c>
      <c r="B43" s="448"/>
      <c r="C43" s="448"/>
      <c r="D43" s="448"/>
      <c r="E43" s="448"/>
      <c r="F43" s="448"/>
      <c r="G43" s="449"/>
      <c r="L43" s="173"/>
    </row>
    <row r="44" spans="1:12" s="91" customFormat="1" ht="6" customHeight="1">
      <c r="A44" s="508"/>
      <c r="B44" s="509"/>
      <c r="C44" s="509"/>
      <c r="D44" s="509"/>
      <c r="E44" s="509"/>
      <c r="F44" s="509"/>
      <c r="G44" s="510"/>
      <c r="L44" s="173"/>
    </row>
    <row r="45" spans="1:12" s="91" customFormat="1" ht="13.5" customHeight="1">
      <c r="A45" s="464" t="s">
        <v>522</v>
      </c>
      <c r="B45" s="368"/>
      <c r="C45" s="368"/>
      <c r="D45" s="368"/>
      <c r="E45" s="368"/>
      <c r="F45" s="368"/>
      <c r="G45" s="465"/>
      <c r="L45" s="173"/>
    </row>
    <row r="46" spans="1:12" s="91" customFormat="1" ht="13.5" customHeight="1">
      <c r="A46" s="464" t="s">
        <v>324</v>
      </c>
      <c r="B46" s="368"/>
      <c r="C46" s="368"/>
      <c r="D46" s="368"/>
      <c r="E46" s="368"/>
      <c r="F46" s="368"/>
      <c r="G46" s="465"/>
      <c r="L46" s="173"/>
    </row>
    <row r="47" spans="1:12" s="91" customFormat="1" ht="13.5" customHeight="1">
      <c r="A47" s="481" t="s">
        <v>523</v>
      </c>
      <c r="B47" s="482"/>
      <c r="C47" s="482"/>
      <c r="D47" s="482"/>
      <c r="E47" s="482"/>
      <c r="F47" s="482"/>
      <c r="G47" s="483"/>
      <c r="L47" s="173"/>
    </row>
    <row r="48" spans="1:12" s="91" customFormat="1" ht="13.5" customHeight="1">
      <c r="A48" s="464" t="s">
        <v>524</v>
      </c>
      <c r="B48" s="368"/>
      <c r="C48" s="368"/>
      <c r="D48" s="368"/>
      <c r="E48" s="368"/>
      <c r="F48" s="368"/>
      <c r="G48" s="465"/>
      <c r="L48" s="173"/>
    </row>
    <row r="49" spans="1:12" s="91" customFormat="1" ht="13.5" customHeight="1">
      <c r="A49" s="464" t="s">
        <v>322</v>
      </c>
      <c r="B49" s="368"/>
      <c r="C49" s="368"/>
      <c r="D49" s="368"/>
      <c r="E49" s="368"/>
      <c r="F49" s="368"/>
      <c r="G49" s="465"/>
      <c r="L49" s="173"/>
    </row>
    <row r="50" spans="1:12" s="91" customFormat="1" ht="6" customHeight="1">
      <c r="A50" s="464"/>
      <c r="B50" s="368"/>
      <c r="C50" s="368"/>
      <c r="D50" s="368"/>
      <c r="E50" s="368"/>
      <c r="F50" s="368"/>
      <c r="G50" s="465"/>
      <c r="L50" s="173"/>
    </row>
    <row r="51" spans="1:12" s="91" customFormat="1" ht="13.5" customHeight="1">
      <c r="A51" s="588" t="s">
        <v>323</v>
      </c>
      <c r="B51" s="589"/>
      <c r="C51" s="589"/>
      <c r="D51" s="589"/>
      <c r="E51" s="589"/>
      <c r="F51" s="589"/>
      <c r="G51" s="590"/>
      <c r="L51" s="173"/>
    </row>
    <row r="52" spans="1:12" s="91" customFormat="1" ht="7.5" customHeight="1">
      <c r="A52" s="464"/>
      <c r="B52" s="368"/>
      <c r="C52" s="368"/>
      <c r="D52" s="368"/>
      <c r="E52" s="368"/>
      <c r="F52" s="368"/>
      <c r="G52" s="465"/>
      <c r="L52" s="173"/>
    </row>
    <row r="53" spans="1:12" s="91" customFormat="1" ht="21">
      <c r="A53" s="130" t="s">
        <v>114</v>
      </c>
      <c r="B53" s="165">
        <f>$B$1</f>
        <v>9</v>
      </c>
      <c r="C53" s="132" t="s">
        <v>40</v>
      </c>
      <c r="D53" s="133" t="str">
        <f>$E$1</f>
        <v>一日毎</v>
      </c>
      <c r="E53" s="577" t="str">
        <f>$B$2</f>
        <v xml:space="preserve">ハウリング・ハリケーン </v>
      </c>
      <c r="F53" s="578"/>
      <c r="G53" s="579"/>
      <c r="L53" s="143"/>
    </row>
  </sheetData>
  <mergeCells count="53">
    <mergeCell ref="A48:G48"/>
    <mergeCell ref="A49:G49"/>
    <mergeCell ref="A50:G50"/>
    <mergeCell ref="A51:G51"/>
    <mergeCell ref="A43:G43"/>
    <mergeCell ref="A44:G44"/>
    <mergeCell ref="A45:G45"/>
    <mergeCell ref="A46:G46"/>
    <mergeCell ref="A47:G47"/>
    <mergeCell ref="A36:G36"/>
    <mergeCell ref="A37:G37"/>
    <mergeCell ref="A28:A29"/>
    <mergeCell ref="A31:G31"/>
    <mergeCell ref="A30:G30"/>
    <mergeCell ref="A32:G32"/>
    <mergeCell ref="A33:G33"/>
    <mergeCell ref="A42:G42"/>
    <mergeCell ref="B8:G8"/>
    <mergeCell ref="B9:G9"/>
    <mergeCell ref="B10:G10"/>
    <mergeCell ref="A22:C23"/>
    <mergeCell ref="D22:E22"/>
    <mergeCell ref="F22:G22"/>
    <mergeCell ref="A24:A27"/>
    <mergeCell ref="C24:C27"/>
    <mergeCell ref="B19:G19"/>
    <mergeCell ref="B20:G20"/>
    <mergeCell ref="A34:G34"/>
    <mergeCell ref="A38:G38"/>
    <mergeCell ref="A39:G39"/>
    <mergeCell ref="A40:G40"/>
    <mergeCell ref="A35:G35"/>
    <mergeCell ref="B1:C1"/>
    <mergeCell ref="F1:G1"/>
    <mergeCell ref="B2:G2"/>
    <mergeCell ref="B4:G4"/>
    <mergeCell ref="B5:G5"/>
    <mergeCell ref="H4:L4"/>
    <mergeCell ref="E53:G53"/>
    <mergeCell ref="B17:G17"/>
    <mergeCell ref="A41:G41"/>
    <mergeCell ref="B16:G16"/>
    <mergeCell ref="B18:G18"/>
    <mergeCell ref="B14:G14"/>
    <mergeCell ref="B15:G15"/>
    <mergeCell ref="B11:G11"/>
    <mergeCell ref="B6:D6"/>
    <mergeCell ref="B7:D7"/>
    <mergeCell ref="J9:K9"/>
    <mergeCell ref="A52:G52"/>
    <mergeCell ref="B12:G12"/>
    <mergeCell ref="J11:K11"/>
    <mergeCell ref="B13:G13"/>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47"/>
  <sheetViews>
    <sheetView topLeftCell="A22" zoomScaleNormal="100" workbookViewId="0">
      <selection activeCell="B23" sqref="A23:XFD30"/>
    </sheetView>
  </sheetViews>
  <sheetFormatPr defaultColWidth="9" defaultRowHeight="13.5"/>
  <cols>
    <col min="1" max="1" width="7.875" style="125" customWidth="1"/>
    <col min="2" max="2" width="8.5" style="125" customWidth="1"/>
    <col min="3" max="3" width="6.625" style="125" customWidth="1"/>
    <col min="4" max="4" width="15.75" style="125"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25" customWidth="1"/>
    <col min="13" max="13" width="9.25" style="125" customWidth="1"/>
    <col min="14" max="14" width="12.375" style="125" customWidth="1"/>
    <col min="15" max="16384" width="9" style="125"/>
  </cols>
  <sheetData>
    <row r="1" spans="1:17" ht="21">
      <c r="A1" s="127" t="s">
        <v>119</v>
      </c>
      <c r="B1" s="563">
        <v>15</v>
      </c>
      <c r="C1" s="564"/>
      <c r="D1" s="128" t="s">
        <v>40</v>
      </c>
      <c r="E1" s="129" t="s">
        <v>120</v>
      </c>
      <c r="F1" s="565"/>
      <c r="G1" s="566"/>
      <c r="H1" s="96" t="s">
        <v>55</v>
      </c>
    </row>
    <row r="2" spans="1:17" ht="24.75" customHeight="1">
      <c r="A2" s="128" t="s">
        <v>0</v>
      </c>
      <c r="B2" s="567" t="s">
        <v>502</v>
      </c>
      <c r="C2" s="567"/>
      <c r="D2" s="567"/>
      <c r="E2" s="567"/>
      <c r="F2" s="567"/>
      <c r="G2" s="567"/>
      <c r="H2" s="96" t="s">
        <v>56</v>
      </c>
    </row>
    <row r="3" spans="1:17" ht="19.5" customHeight="1">
      <c r="A3" s="102" t="s">
        <v>48</v>
      </c>
      <c r="B3" s="91"/>
      <c r="C3" s="91"/>
      <c r="D3" s="91"/>
      <c r="I3" s="96"/>
    </row>
    <row r="4" spans="1:17">
      <c r="A4" s="76" t="s">
        <v>46</v>
      </c>
      <c r="B4" s="439" t="s">
        <v>503</v>
      </c>
      <c r="C4" s="440"/>
      <c r="D4" s="440"/>
      <c r="E4" s="440"/>
      <c r="F4" s="440"/>
      <c r="G4" s="441"/>
      <c r="H4" s="381" t="s">
        <v>201</v>
      </c>
      <c r="I4" s="382"/>
      <c r="J4" s="382"/>
      <c r="K4" s="382"/>
      <c r="L4" s="383"/>
    </row>
    <row r="5" spans="1:17">
      <c r="A5" s="77" t="s">
        <v>121</v>
      </c>
      <c r="B5" s="439" t="s">
        <v>504</v>
      </c>
      <c r="C5" s="440"/>
      <c r="D5" s="440"/>
      <c r="E5" s="440"/>
      <c r="F5" s="440"/>
      <c r="G5" s="441"/>
      <c r="H5" s="122" t="s">
        <v>43</v>
      </c>
      <c r="I5" s="124" t="s">
        <v>71</v>
      </c>
      <c r="J5" s="124">
        <v>10</v>
      </c>
    </row>
    <row r="6" spans="1:17">
      <c r="A6" s="77" t="s">
        <v>122</v>
      </c>
      <c r="B6" s="439" t="s">
        <v>5</v>
      </c>
      <c r="C6" s="440"/>
      <c r="D6" s="441"/>
      <c r="E6" s="122" t="s">
        <v>43</v>
      </c>
      <c r="F6" s="123" t="str">
        <f>$I$5</f>
        <v>遠隔</v>
      </c>
      <c r="G6" s="123">
        <f>IF($J$5 = 0,"", $J$5)</f>
        <v>10</v>
      </c>
      <c r="H6" s="122" t="s">
        <v>66</v>
      </c>
      <c r="I6" s="124"/>
      <c r="J6" s="210"/>
    </row>
    <row r="7" spans="1:17">
      <c r="A7" s="134" t="s">
        <v>6</v>
      </c>
      <c r="B7" s="591" t="s">
        <v>91</v>
      </c>
      <c r="C7" s="592"/>
      <c r="D7" s="593"/>
      <c r="E7" s="122" t="s">
        <v>66</v>
      </c>
      <c r="F7" s="123" t="str">
        <f>IF($I$6 = 0,"", $I$6)</f>
        <v/>
      </c>
      <c r="G7" s="323" t="str">
        <f>IF($J$6 = 0,"", $J$6)</f>
        <v/>
      </c>
      <c r="H7" s="122" t="s">
        <v>85</v>
      </c>
      <c r="I7" s="325" t="s">
        <v>133</v>
      </c>
      <c r="J7" s="96" t="s">
        <v>62</v>
      </c>
      <c r="L7" s="191" t="s">
        <v>193</v>
      </c>
    </row>
    <row r="8" spans="1:17">
      <c r="A8" s="134" t="s">
        <v>8</v>
      </c>
      <c r="B8" s="439" t="s">
        <v>180</v>
      </c>
      <c r="C8" s="440"/>
      <c r="D8" s="440"/>
      <c r="E8" s="440"/>
      <c r="F8" s="440"/>
      <c r="G8" s="441"/>
      <c r="H8" s="122" t="s">
        <v>51</v>
      </c>
      <c r="I8" s="124" t="s">
        <v>17</v>
      </c>
      <c r="J8" s="123">
        <f>IF($I$8 = "筋力",基本!$C$5,IF($I$8 = "耐久力",基本!$C$6,IF($I$8 = "敏捷力",基本!$C$7,IF($I$8 = "知力",基本!$C$8,IF($I$8 = "判断力",基本!$C$9,IF($I$8 = "魅力",基本!$C$10,""))))))</f>
        <v>6</v>
      </c>
      <c r="K8" s="124" t="s">
        <v>20</v>
      </c>
      <c r="L8" s="192">
        <f>$J$8+$L$9+$I$9</f>
        <v>20</v>
      </c>
    </row>
    <row r="9" spans="1:17">
      <c r="A9" s="79" t="s">
        <v>123</v>
      </c>
      <c r="B9" s="594" t="s">
        <v>505</v>
      </c>
      <c r="C9" s="595"/>
      <c r="D9" s="595"/>
      <c r="E9" s="595"/>
      <c r="F9" s="595"/>
      <c r="G9" s="596"/>
      <c r="H9" s="122" t="s">
        <v>58</v>
      </c>
      <c r="I9" s="124">
        <v>0</v>
      </c>
      <c r="J9" s="381" t="s">
        <v>53</v>
      </c>
      <c r="K9" s="383"/>
      <c r="L9" s="123">
        <f>IF($I$7=基本!$F$4,基本!$O$7,IF($I$7=基本!$F$13,基本!$O$16,IF($I$7=基本!$F$22,基本!$O$25,IF($I$7=基本!$F$31,基本!$O$34,IF($I$7=基本!$F$40,基本!$O$43,0)))))</f>
        <v>14</v>
      </c>
    </row>
    <row r="10" spans="1:17">
      <c r="A10" s="81"/>
      <c r="B10" s="597"/>
      <c r="C10" s="598"/>
      <c r="D10" s="598"/>
      <c r="E10" s="598"/>
      <c r="F10" s="598"/>
      <c r="G10" s="599"/>
      <c r="H10" s="101" t="s">
        <v>52</v>
      </c>
      <c r="I10" s="124" t="s">
        <v>17</v>
      </c>
      <c r="J10" s="100">
        <f>IF($I$10 = "筋力",基本!$C$5,IF($I$10 = "耐久力",基本!$C$6,IF($I$10 = "敏捷力",基本!$C$7,IF($I$10 = "知力",基本!$C$8,IF($I$10 = "判断力",基本!$C$9,IF($I$10 = "魅力",基本!$C$10,""))))))</f>
        <v>6</v>
      </c>
      <c r="L10" s="91"/>
    </row>
    <row r="11" spans="1:17">
      <c r="A11" s="135" t="s">
        <v>61</v>
      </c>
      <c r="B11" s="481" t="s">
        <v>506</v>
      </c>
      <c r="C11" s="482"/>
      <c r="D11" s="482"/>
      <c r="E11" s="482"/>
      <c r="F11" s="482"/>
      <c r="G11" s="483"/>
      <c r="H11" s="122" t="s">
        <v>59</v>
      </c>
      <c r="I11" s="124">
        <v>0</v>
      </c>
      <c r="J11" s="381" t="s">
        <v>54</v>
      </c>
      <c r="K11" s="383"/>
      <c r="L11" s="123">
        <f>IF($I$7=基本!$F$4,基本!$O$9,IF($I$7=基本!$F$13,基本!$O$18,IF($I$7=基本!$F$22,基本!$O$27,IF($I$7=基本!$F$31,基本!$O$36,IF($I$7=基本!$F$40,基本!$O$45,0)))))</f>
        <v>17</v>
      </c>
    </row>
    <row r="12" spans="1:17">
      <c r="A12" s="80"/>
      <c r="B12" s="481" t="s">
        <v>507</v>
      </c>
      <c r="C12" s="482"/>
      <c r="D12" s="482"/>
      <c r="E12" s="482"/>
      <c r="F12" s="482"/>
      <c r="G12" s="483"/>
      <c r="H12" s="173"/>
      <c r="I12" s="173"/>
      <c r="J12" s="173"/>
      <c r="K12" s="173"/>
      <c r="L12" s="191" t="s">
        <v>193</v>
      </c>
      <c r="M12" s="173"/>
      <c r="N12" s="173"/>
      <c r="O12" s="173"/>
      <c r="P12" s="173"/>
      <c r="Q12" s="173"/>
    </row>
    <row r="13" spans="1:17" ht="13.5" customHeight="1">
      <c r="A13" s="80"/>
      <c r="B13" s="588"/>
      <c r="C13" s="589"/>
      <c r="D13" s="589"/>
      <c r="E13" s="589"/>
      <c r="F13" s="589"/>
      <c r="G13" s="590"/>
      <c r="H13" s="177" t="s">
        <v>86</v>
      </c>
      <c r="I13" s="124">
        <v>2</v>
      </c>
      <c r="J13" s="122" t="s">
        <v>44</v>
      </c>
      <c r="K13" s="124">
        <v>4</v>
      </c>
      <c r="L13" s="192">
        <f>$J$10+$L$11+$I$11</f>
        <v>23</v>
      </c>
    </row>
    <row r="14" spans="1:17" ht="13.5" customHeight="1">
      <c r="A14" s="135"/>
      <c r="B14" s="481"/>
      <c r="C14" s="482"/>
      <c r="D14" s="482"/>
      <c r="E14" s="482"/>
      <c r="F14" s="482"/>
      <c r="G14" s="483"/>
      <c r="H14" s="122" t="s">
        <v>50</v>
      </c>
      <c r="I14" s="32">
        <f>IF($I$7=基本!$F$4,基本!$L$11,IF($I$7=基本!$F$13,基本!$L$20,IF($I$7=基本!$F$22,基本!$L$29,IF($I$7=基本!$F$31,基本!$L$38,IF($I$7=基本!$F$40,基本!$L$47,0)))))</f>
        <v>4</v>
      </c>
      <c r="J14" s="177" t="s">
        <v>197</v>
      </c>
      <c r="K14" s="32">
        <f>IF($I$7=基本!$F$4,基本!$N$11,IF($I$7=基本!$F$13,基本!$N$20,IF($I$7=基本!$F$22,基本!$N$29,IF($I$7=基本!$F$31,基本!$N$38,IF($I$7=基本!$F$40,基本!$N$47,0)))))</f>
        <v>6</v>
      </c>
      <c r="L14" s="192">
        <f>$J$10+$L$11+$I$11+($I$13*$K$13)</f>
        <v>31</v>
      </c>
    </row>
    <row r="15" spans="1:17" ht="13.5" customHeight="1">
      <c r="A15" s="324"/>
      <c r="B15" s="502"/>
      <c r="C15" s="503"/>
      <c r="D15" s="503"/>
      <c r="E15" s="503"/>
      <c r="F15" s="503"/>
      <c r="G15" s="504"/>
      <c r="H15" s="122" t="s">
        <v>60</v>
      </c>
      <c r="I15" s="124" t="s">
        <v>78</v>
      </c>
      <c r="J15" s="177" t="s">
        <v>195</v>
      </c>
      <c r="K15" s="179" t="s">
        <v>14</v>
      </c>
      <c r="L15" s="176">
        <f>IF(K15="",0,VLOOKUP(K15,基本!$A$5:'基本'!$C$10,3,FALSE))</f>
        <v>5</v>
      </c>
    </row>
    <row r="16" spans="1:17" ht="14.25" thickBot="1">
      <c r="A16" s="126" t="s">
        <v>47</v>
      </c>
      <c r="E16" s="92"/>
    </row>
    <row r="17" spans="1:8" s="173" customFormat="1" ht="13.5" customHeight="1">
      <c r="A17" s="557" t="str">
        <f>$B$2</f>
        <v>ライトニング・ダガーズ</v>
      </c>
      <c r="B17" s="558"/>
      <c r="C17" s="559"/>
      <c r="D17" s="497" t="s">
        <v>2</v>
      </c>
      <c r="E17" s="498"/>
      <c r="F17" s="484" t="s">
        <v>272</v>
      </c>
      <c r="G17" s="485"/>
    </row>
    <row r="18" spans="1:8" s="173" customFormat="1" ht="15" customHeight="1" thickBot="1">
      <c r="A18" s="560"/>
      <c r="B18" s="561"/>
      <c r="C18" s="562"/>
      <c r="D18" s="160" t="s">
        <v>2</v>
      </c>
      <c r="E18" s="215" t="s">
        <v>1</v>
      </c>
      <c r="F18" s="160" t="s">
        <v>2</v>
      </c>
      <c r="G18" s="214" t="s">
        <v>1</v>
      </c>
    </row>
    <row r="19" spans="1:8" s="173" customFormat="1" ht="24" customHeight="1">
      <c r="A19" s="450" t="s">
        <v>42</v>
      </c>
      <c r="B19" s="225" t="s">
        <v>113</v>
      </c>
      <c r="C19" s="488" t="str">
        <f>$K$8</f>
        <v>反応</v>
      </c>
      <c r="D19" s="222" t="str">
        <f>$L$8 &amp; "+1d20"</f>
        <v>20+1d20</v>
      </c>
      <c r="E19" s="223" t="str">
        <f>$L$8+2 &amp; "+1d20"</f>
        <v>22+1d20</v>
      </c>
      <c r="F19" s="222" t="str">
        <f>$L$8 &amp; "+1d20"</f>
        <v>20+1d20</v>
      </c>
      <c r="G19" s="224" t="str">
        <f>$L$8+2 &amp; "+1d20"</f>
        <v>22+1d20</v>
      </c>
    </row>
    <row r="20" spans="1:8" s="173" customFormat="1" ht="24" customHeight="1">
      <c r="A20" s="451"/>
      <c r="B20" s="319" t="s">
        <v>427</v>
      </c>
      <c r="C20" s="489"/>
      <c r="D20" s="313" t="str">
        <f>$L$8 -5&amp; "+1d20"</f>
        <v>15+1d20</v>
      </c>
      <c r="E20" s="314" t="str">
        <f>$L$8+2 -5&amp; "+1d20"</f>
        <v>17+1d20</v>
      </c>
      <c r="F20" s="313" t="str">
        <f>$L$8 -5&amp; "+1d20"</f>
        <v>15+1d20</v>
      </c>
      <c r="G20" s="315" t="str">
        <f>$L$8+2 -5&amp; "+1d20"</f>
        <v>17+1d20</v>
      </c>
    </row>
    <row r="21" spans="1:8" s="173" customFormat="1" ht="24" customHeight="1">
      <c r="A21" s="451"/>
      <c r="B21" s="321" t="s">
        <v>365</v>
      </c>
      <c r="C21" s="489"/>
      <c r="D21" s="316" t="str">
        <f>3+$L$8 &amp; "+1d20"</f>
        <v>23+1d20</v>
      </c>
      <c r="E21" s="317" t="str">
        <f>3+$L$8+2 &amp; "+1d20"</f>
        <v>25+1d20</v>
      </c>
      <c r="F21" s="316" t="str">
        <f>3+$L$8 &amp; "+1d20"</f>
        <v>23+1d20</v>
      </c>
      <c r="G21" s="318" t="str">
        <f>3+$L$8+2 &amp; "+1d20"</f>
        <v>25+1d20</v>
      </c>
    </row>
    <row r="22" spans="1:8" s="173" customFormat="1" ht="24" customHeight="1" thickBot="1">
      <c r="A22" s="452"/>
      <c r="B22" s="320" t="s">
        <v>428</v>
      </c>
      <c r="C22" s="490"/>
      <c r="D22" s="226" t="str">
        <f>3+$L$8 -5&amp; "+1d20"</f>
        <v>18+1d20</v>
      </c>
      <c r="E22" s="227" t="str">
        <f>3+$L$8+2 -5&amp; "+1d20"</f>
        <v>20+1d20</v>
      </c>
      <c r="F22" s="226" t="str">
        <f>3+$L$8 -5&amp; "+1d20"</f>
        <v>18+1d20</v>
      </c>
      <c r="G22" s="228" t="str">
        <f>3+$L$8+2 -5&amp; "+1d20"</f>
        <v>20+1d20</v>
      </c>
    </row>
    <row r="23" spans="1:8" s="173" customFormat="1" ht="21" customHeight="1">
      <c r="A23" s="442" t="s">
        <v>513</v>
      </c>
      <c r="B23" s="348" t="s">
        <v>2</v>
      </c>
      <c r="C23" s="521" t="str">
        <f>IF($I$15 = 0,"", $I$15)</f>
        <v>電撃</v>
      </c>
      <c r="D23" s="63" t="str">
        <f>基本!$K$2+$L$13 &amp; "+" &amp; $I$13 &amp; "d" &amp; $K$13</f>
        <v>25+2d4</v>
      </c>
      <c r="E23" s="349" t="str">
        <f>基本!$K$2+$L$13 &amp; "+" &amp; $I$13 &amp; "d" &amp; $K$13</f>
        <v>25+2d4</v>
      </c>
      <c r="F23" s="63" t="str">
        <f>基本!$K$2+$L$13 &amp; "+" &amp; $I$13 &amp; "d" &amp; $K$13&amp;"+1d6"</f>
        <v>25+2d4+1d6</v>
      </c>
      <c r="G23" s="64" t="str">
        <f>基本!$K$2+$L$13 &amp; "+" &amp; $I$13 &amp; "d" &amp; $K$13&amp;"+1d6"</f>
        <v>25+2d4+1d6</v>
      </c>
    </row>
    <row r="24" spans="1:8" s="173" customFormat="1" ht="21" customHeight="1" thickBot="1">
      <c r="A24" s="443"/>
      <c r="B24" s="350" t="s">
        <v>266</v>
      </c>
      <c r="C24" s="522"/>
      <c r="D24" s="351" t="str">
        <f>基本!$K$2+2+$L$13 &amp; "+" &amp; $I$13 &amp; "d" &amp; $K$13</f>
        <v>27+2d4</v>
      </c>
      <c r="E24" s="352" t="str">
        <f>基本!$K$2+2+$L$13 &amp; "+" &amp; $I$13 &amp; "d" &amp; $K$13</f>
        <v>27+2d4</v>
      </c>
      <c r="F24" s="351" t="str">
        <f>基本!$K$2+2+$L$13 &amp; "+" &amp; $I$13 &amp; "d" &amp; $K$13&amp;"+1d6"</f>
        <v>27+2d4+1d6</v>
      </c>
      <c r="G24" s="353" t="str">
        <f>基本!$K$2+2+$L$13 &amp; "+" &amp; $I$13 &amp; "d" &amp; $K$13&amp;"+1d6"</f>
        <v>27+2d4+1d6</v>
      </c>
    </row>
    <row r="25" spans="1:8" s="173" customFormat="1" ht="21" customHeight="1">
      <c r="A25" s="442" t="s">
        <v>600</v>
      </c>
      <c r="B25" s="344" t="s">
        <v>2</v>
      </c>
      <c r="C25" s="486" t="s">
        <v>602</v>
      </c>
      <c r="D25" s="345" t="str">
        <f>基本!$K$2+$L$14 &amp; IF($I$14 =0,"","+" &amp; $I$14 &amp; "d" &amp; $K$14)</f>
        <v>33+4d6</v>
      </c>
      <c r="E25" s="346" t="str">
        <f>基本!$K$2+$L$14 &amp; IF($I$14 =0,"","+" &amp; $I$14 &amp; "d" &amp; $K$14)</f>
        <v>33+4d6</v>
      </c>
      <c r="F25" s="345" t="str">
        <f>基本!$K$2+6+$L$14 &amp; IF($I$14 =0,"","+" &amp; $I$14 &amp; "d" &amp; $K$14)</f>
        <v>39+4d6</v>
      </c>
      <c r="G25" s="347" t="str">
        <f>基本!$K$2+6+$L$14 &amp; IF($I$14 =0,"","+" &amp; $I$14 &amp; "d" &amp; $K$14)</f>
        <v>39+4d6</v>
      </c>
    </row>
    <row r="26" spans="1:8" s="173" customFormat="1" ht="21" customHeight="1" thickBot="1">
      <c r="A26" s="443"/>
      <c r="B26" s="340" t="s">
        <v>266</v>
      </c>
      <c r="C26" s="487"/>
      <c r="D26" s="341" t="str">
        <f>基本!$K$2+2+$L$14 &amp; IF($I$14 =0,"","+" &amp; $I$14 &amp; "d" &amp; $K$14)</f>
        <v>35+4d6</v>
      </c>
      <c r="E26" s="342" t="str">
        <f>基本!$K$2+2+$L$14 &amp; IF($I$14 =0,"","+" &amp; $I$14 &amp; "d" &amp; $K$14)</f>
        <v>35+4d6</v>
      </c>
      <c r="F26" s="341" t="str">
        <f>基本!$K$2+2+6+$L$14 &amp; IF($I$14 =0,"","+" &amp; $I$14 &amp; "d" &amp; $K$14)</f>
        <v>41+4d6</v>
      </c>
      <c r="G26" s="343" t="str">
        <f>基本!$K$2+2+6+$L$14 &amp; IF($I$14 =0,"","+" &amp; $I$14 &amp; "d" &amp; $K$14)</f>
        <v>41+4d6</v>
      </c>
    </row>
    <row r="27" spans="1:8" s="173" customFormat="1" ht="21" customHeight="1">
      <c r="A27" s="520" t="s">
        <v>113</v>
      </c>
      <c r="B27" s="348" t="s">
        <v>2</v>
      </c>
      <c r="C27" s="521" t="str">
        <f>IF($I$15 = 0,"", $I$15)</f>
        <v>電撃</v>
      </c>
      <c r="D27" s="111" t="str">
        <f>$L$13 &amp; "+" &amp; $I$13 &amp; "d" &amp; $K$13</f>
        <v>23+2d4</v>
      </c>
      <c r="E27" s="216" t="str">
        <f>$L$13 &amp; "+" &amp; $I$13 &amp; "d" &amp; $K$13</f>
        <v>23+2d4</v>
      </c>
      <c r="F27" s="111" t="str">
        <f>$L$13 &amp; "+" &amp; $I$13 &amp; "d" &amp; $K$13&amp;"+1d6"</f>
        <v>23+2d4+1d6</v>
      </c>
      <c r="G27" s="158" t="str">
        <f>$L$13 &amp; "+" &amp; $I$13 &amp; "d" &amp; $K$13&amp;"+1d6"</f>
        <v>23+2d4+1d6</v>
      </c>
    </row>
    <row r="28" spans="1:8" s="173" customFormat="1" ht="21" customHeight="1" thickBot="1">
      <c r="A28" s="479"/>
      <c r="B28" s="350" t="s">
        <v>266</v>
      </c>
      <c r="C28" s="522"/>
      <c r="D28" s="351" t="str">
        <f>2+$L$13 &amp; "+" &amp; $I$13 &amp; "d" &amp; $K$13</f>
        <v>25+2d4</v>
      </c>
      <c r="E28" s="352" t="str">
        <f>2+$L$13 &amp; "+" &amp; $I$13 &amp; "d" &amp; $K$13</f>
        <v>25+2d4</v>
      </c>
      <c r="F28" s="351" t="str">
        <f>2+$L$13 &amp; "+" &amp; $I$13 &amp; "d" &amp; $K$13&amp;"+1d6"</f>
        <v>25+2d4+1d6</v>
      </c>
      <c r="G28" s="353" t="str">
        <f>2+$L$13 &amp; "+" &amp; $I$13 &amp; "d" &amp; $K$13&amp;"+1d6"</f>
        <v>25+2d4+1d6</v>
      </c>
    </row>
    <row r="29" spans="1:8" s="173" customFormat="1" ht="21" customHeight="1">
      <c r="A29" s="478" t="s">
        <v>603</v>
      </c>
      <c r="B29" s="344" t="s">
        <v>2</v>
      </c>
      <c r="C29" s="486" t="s">
        <v>602</v>
      </c>
      <c r="D29" s="345" t="str">
        <f>$L$14 &amp; IF($I$14 = 0,"","+" &amp; $I$14 &amp; "d" &amp; $K$14)</f>
        <v>31+4d6</v>
      </c>
      <c r="E29" s="346" t="str">
        <f>$L$14 &amp; IF($I$14 = 0,"","+" &amp; $I$14 &amp; "d" &amp; $K$14)</f>
        <v>31+4d6</v>
      </c>
      <c r="F29" s="345" t="str">
        <f>6+$L$14 &amp; IF($I$14 = 0,"","+" &amp; $I$14 &amp; "d" &amp; $K$14)</f>
        <v>37+4d6</v>
      </c>
      <c r="G29" s="347" t="str">
        <f>6+$L$14 &amp; IF($I$14 = 0,"","+" &amp; $I$14 &amp; "d" &amp; $K$14)</f>
        <v>37+4d6</v>
      </c>
    </row>
    <row r="30" spans="1:8" s="173" customFormat="1" ht="21" customHeight="1" thickBot="1">
      <c r="A30" s="479"/>
      <c r="B30" s="340" t="s">
        <v>266</v>
      </c>
      <c r="C30" s="487"/>
      <c r="D30" s="106" t="str">
        <f>2+$L$14 &amp; IF($I$14 = 0,"","+" &amp; $I$14 &amp; "d" &amp; $K$14)</f>
        <v>33+4d6</v>
      </c>
      <c r="E30" s="217" t="str">
        <f>2+$L$14 &amp; IF($I$14 = 0,"","+" &amp; $I$14 &amp; "d" &amp; $K$14)</f>
        <v>33+4d6</v>
      </c>
      <c r="F30" s="106" t="str">
        <f>2+6+$L$14 &amp; IF($I$14 = 0,"","+" &amp; $I$14 &amp; "d" &amp; $K$14)</f>
        <v>39+4d6</v>
      </c>
      <c r="G30" s="103" t="str">
        <f>2+6+$L$14 &amp; IF($I$14 = 0,"","+" &amp; $I$14 &amp; "d" &amp; $K$14)</f>
        <v>39+4d6</v>
      </c>
    </row>
    <row r="31" spans="1:8" s="201" customFormat="1" ht="7.5" customHeight="1">
      <c r="A31" s="480"/>
      <c r="B31" s="480"/>
      <c r="C31" s="480"/>
      <c r="D31" s="480"/>
      <c r="E31" s="480"/>
      <c r="F31" s="480"/>
      <c r="G31" s="480"/>
      <c r="H31" s="200"/>
    </row>
    <row r="32" spans="1:8" s="173" customFormat="1" ht="14.25">
      <c r="A32" s="362" t="s">
        <v>299</v>
      </c>
      <c r="B32" s="362"/>
      <c r="C32" s="362"/>
      <c r="D32" s="362"/>
      <c r="E32" s="362"/>
      <c r="F32" s="362"/>
      <c r="G32" s="362"/>
      <c r="H32" s="91"/>
    </row>
    <row r="33" spans="1:12" s="205" customFormat="1" ht="14.25">
      <c r="A33" s="362" t="s">
        <v>298</v>
      </c>
      <c r="B33" s="362"/>
      <c r="C33" s="362"/>
      <c r="D33" s="362"/>
      <c r="E33" s="362"/>
      <c r="F33" s="362"/>
      <c r="G33" s="362"/>
      <c r="H33" s="204"/>
      <c r="I33" s="204"/>
      <c r="J33" s="204"/>
      <c r="K33" s="204"/>
    </row>
    <row r="34" spans="1:12" s="173" customFormat="1" ht="14.25">
      <c r="A34" s="362" t="s">
        <v>599</v>
      </c>
      <c r="B34" s="362"/>
      <c r="C34" s="362"/>
      <c r="D34" s="362"/>
      <c r="E34" s="362"/>
      <c r="F34" s="362"/>
      <c r="G34" s="362"/>
      <c r="H34" s="91"/>
    </row>
    <row r="35" spans="1:12" s="205" customFormat="1" ht="14.25">
      <c r="A35" s="362" t="s">
        <v>220</v>
      </c>
      <c r="B35" s="362"/>
      <c r="C35" s="362"/>
      <c r="D35" s="362"/>
      <c r="E35" s="362"/>
      <c r="F35" s="362"/>
      <c r="G35" s="362"/>
      <c r="H35" s="204"/>
    </row>
    <row r="36" spans="1:12" s="173" customFormat="1" ht="14.25">
      <c r="A36" s="362" t="s">
        <v>440</v>
      </c>
      <c r="B36" s="362"/>
      <c r="C36" s="362"/>
      <c r="D36" s="362"/>
      <c r="E36" s="362"/>
      <c r="F36" s="362"/>
      <c r="G36" s="362"/>
      <c r="H36" s="91"/>
    </row>
    <row r="37" spans="1:12" s="173" customFormat="1" ht="14.25">
      <c r="A37" s="362" t="s">
        <v>535</v>
      </c>
      <c r="B37" s="362"/>
      <c r="C37" s="362"/>
      <c r="D37" s="362"/>
      <c r="E37" s="362"/>
      <c r="F37" s="362"/>
      <c r="G37" s="362"/>
    </row>
    <row r="38" spans="1:12" s="173" customFormat="1" ht="14.25">
      <c r="A38" s="362" t="s">
        <v>366</v>
      </c>
      <c r="B38" s="362"/>
      <c r="C38" s="362"/>
      <c r="D38" s="362"/>
      <c r="E38" s="362"/>
      <c r="F38" s="362"/>
      <c r="G38" s="362"/>
      <c r="H38" s="91"/>
      <c r="I38" s="91"/>
    </row>
    <row r="39" spans="1:12" s="173" customFormat="1" ht="14.25">
      <c r="A39" s="362" t="s">
        <v>215</v>
      </c>
      <c r="B39" s="362"/>
      <c r="C39" s="362"/>
      <c r="D39" s="362"/>
      <c r="E39" s="362"/>
      <c r="F39" s="362"/>
      <c r="G39" s="362"/>
      <c r="H39" s="91"/>
      <c r="I39" s="91"/>
    </row>
    <row r="40" spans="1:12" s="201" customFormat="1" ht="7.5" customHeight="1">
      <c r="A40" s="524"/>
      <c r="B40" s="524"/>
      <c r="C40" s="524"/>
      <c r="D40" s="524"/>
      <c r="E40" s="524"/>
      <c r="F40" s="524"/>
      <c r="G40" s="524"/>
      <c r="H40" s="200"/>
      <c r="I40" s="200"/>
      <c r="J40" s="200"/>
      <c r="K40" s="200"/>
    </row>
    <row r="41" spans="1:12" s="173" customFormat="1">
      <c r="A41" s="473" t="s">
        <v>49</v>
      </c>
      <c r="B41" s="474"/>
      <c r="C41" s="474"/>
      <c r="D41" s="474"/>
      <c r="E41" s="474"/>
      <c r="F41" s="474"/>
      <c r="G41" s="475"/>
      <c r="H41" s="91"/>
      <c r="I41" s="91"/>
      <c r="J41" s="91"/>
      <c r="K41" s="91"/>
    </row>
    <row r="42" spans="1:12" s="91" customFormat="1" ht="13.5" customHeight="1">
      <c r="A42" s="447"/>
      <c r="B42" s="448"/>
      <c r="C42" s="448"/>
      <c r="D42" s="448"/>
      <c r="E42" s="448"/>
      <c r="F42" s="448"/>
      <c r="G42" s="449"/>
      <c r="L42" s="173"/>
    </row>
    <row r="43" spans="1:12" s="91" customFormat="1" ht="13.5" customHeight="1">
      <c r="A43" s="508" t="s">
        <v>508</v>
      </c>
      <c r="B43" s="509"/>
      <c r="C43" s="509"/>
      <c r="D43" s="509"/>
      <c r="E43" s="509"/>
      <c r="F43" s="509"/>
      <c r="G43" s="510"/>
      <c r="L43" s="173"/>
    </row>
    <row r="44" spans="1:12" s="91" customFormat="1" ht="13.5" customHeight="1">
      <c r="A44" s="464" t="s">
        <v>509</v>
      </c>
      <c r="B44" s="368"/>
      <c r="C44" s="368"/>
      <c r="D44" s="368"/>
      <c r="E44" s="368"/>
      <c r="F44" s="368"/>
      <c r="G44" s="465"/>
      <c r="L44" s="173"/>
    </row>
    <row r="45" spans="1:12" s="91" customFormat="1" ht="13.5" customHeight="1">
      <c r="A45" s="464" t="s">
        <v>606</v>
      </c>
      <c r="B45" s="368"/>
      <c r="C45" s="368"/>
      <c r="D45" s="368"/>
      <c r="E45" s="368"/>
      <c r="F45" s="368"/>
      <c r="G45" s="465"/>
      <c r="L45" s="173"/>
    </row>
    <row r="46" spans="1:12" s="91" customFormat="1" ht="13.5" customHeight="1">
      <c r="A46" s="447"/>
      <c r="B46" s="448"/>
      <c r="C46" s="448"/>
      <c r="D46" s="448"/>
      <c r="E46" s="448"/>
      <c r="F46" s="448"/>
      <c r="G46" s="449"/>
      <c r="L46" s="173"/>
    </row>
    <row r="47" spans="1:12" s="91" customFormat="1" ht="21">
      <c r="A47" s="130" t="s">
        <v>119</v>
      </c>
      <c r="B47" s="131">
        <f>$B$1</f>
        <v>15</v>
      </c>
      <c r="C47" s="132" t="s">
        <v>40</v>
      </c>
      <c r="D47" s="133" t="str">
        <f>$E$1</f>
        <v>一日毎</v>
      </c>
      <c r="E47" s="577" t="str">
        <f>$B$2</f>
        <v>ライトニング・ダガーズ</v>
      </c>
      <c r="F47" s="578"/>
      <c r="G47" s="579"/>
      <c r="L47" s="125"/>
    </row>
  </sheetData>
  <mergeCells count="48">
    <mergeCell ref="A29:A30"/>
    <mergeCell ref="C29:C30"/>
    <mergeCell ref="E47:G47"/>
    <mergeCell ref="B13:G13"/>
    <mergeCell ref="B14:G14"/>
    <mergeCell ref="A40:G40"/>
    <mergeCell ref="A41:G41"/>
    <mergeCell ref="B15:G15"/>
    <mergeCell ref="A17:C18"/>
    <mergeCell ref="D17:E17"/>
    <mergeCell ref="F17:G17"/>
    <mergeCell ref="A31:G31"/>
    <mergeCell ref="A46:G46"/>
    <mergeCell ref="A19:A22"/>
    <mergeCell ref="C19:C22"/>
    <mergeCell ref="A44:G44"/>
    <mergeCell ref="A25:A26"/>
    <mergeCell ref="C25:C26"/>
    <mergeCell ref="J9:K9"/>
    <mergeCell ref="B11:G11"/>
    <mergeCell ref="B1:C1"/>
    <mergeCell ref="F1:G1"/>
    <mergeCell ref="B2:G2"/>
    <mergeCell ref="B4:G4"/>
    <mergeCell ref="B5:G5"/>
    <mergeCell ref="B6:D6"/>
    <mergeCell ref="B7:D7"/>
    <mergeCell ref="B8:G8"/>
    <mergeCell ref="B9:G9"/>
    <mergeCell ref="B10:G10"/>
    <mergeCell ref="H4:L4"/>
    <mergeCell ref="J11:K11"/>
    <mergeCell ref="B12:G12"/>
    <mergeCell ref="A42:G42"/>
    <mergeCell ref="A43:G43"/>
    <mergeCell ref="A45:G45"/>
    <mergeCell ref="A36:G36"/>
    <mergeCell ref="A37:G37"/>
    <mergeCell ref="A38:G38"/>
    <mergeCell ref="A39:G39"/>
    <mergeCell ref="A32:G32"/>
    <mergeCell ref="A33:G33"/>
    <mergeCell ref="A34:G34"/>
    <mergeCell ref="A35:G35"/>
    <mergeCell ref="A23:A24"/>
    <mergeCell ref="C23:C24"/>
    <mergeCell ref="A27:A28"/>
    <mergeCell ref="C27:C28"/>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Q53"/>
  <sheetViews>
    <sheetView zoomScaleNormal="100" workbookViewId="0">
      <selection activeCell="B2" sqref="B2:G2"/>
    </sheetView>
  </sheetViews>
  <sheetFormatPr defaultColWidth="9" defaultRowHeight="13.5"/>
  <cols>
    <col min="1" max="1" width="7.875" style="119" customWidth="1"/>
    <col min="2" max="2" width="8.5" style="119" customWidth="1"/>
    <col min="3" max="3" width="6.625" style="119" customWidth="1"/>
    <col min="4" max="4" width="15.75" style="119"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19" customWidth="1"/>
    <col min="13" max="13" width="9.25" style="119" customWidth="1"/>
    <col min="14" max="14" width="12.375" style="119" customWidth="1"/>
    <col min="15" max="16384" width="9" style="119"/>
  </cols>
  <sheetData>
    <row r="1" spans="1:17" ht="21">
      <c r="A1" s="38"/>
      <c r="B1" s="600" t="s">
        <v>152</v>
      </c>
      <c r="C1" s="601"/>
      <c r="D1" s="39" t="s">
        <v>40</v>
      </c>
      <c r="E1" s="40" t="s">
        <v>57</v>
      </c>
      <c r="F1" s="531"/>
      <c r="G1" s="532"/>
      <c r="H1" s="96" t="s">
        <v>55</v>
      </c>
    </row>
    <row r="2" spans="1:17" ht="24.75" customHeight="1">
      <c r="A2" s="39" t="s">
        <v>0</v>
      </c>
      <c r="B2" s="533" t="s">
        <v>327</v>
      </c>
      <c r="C2" s="533"/>
      <c r="D2" s="533"/>
      <c r="E2" s="533"/>
      <c r="F2" s="533"/>
      <c r="G2" s="533"/>
      <c r="H2" s="96" t="s">
        <v>56</v>
      </c>
    </row>
    <row r="3" spans="1:17" ht="19.5" customHeight="1">
      <c r="A3" s="102" t="s">
        <v>48</v>
      </c>
      <c r="B3" s="91"/>
      <c r="C3" s="91"/>
      <c r="D3" s="91"/>
      <c r="I3" s="96"/>
    </row>
    <row r="4" spans="1:17">
      <c r="A4" s="76" t="s">
        <v>46</v>
      </c>
      <c r="B4" s="439" t="s">
        <v>153</v>
      </c>
      <c r="C4" s="440"/>
      <c r="D4" s="440"/>
      <c r="E4" s="440"/>
      <c r="F4" s="440"/>
      <c r="G4" s="441"/>
      <c r="H4" s="381" t="s">
        <v>201</v>
      </c>
      <c r="I4" s="382"/>
      <c r="J4" s="382"/>
      <c r="K4" s="382"/>
      <c r="L4" s="383"/>
    </row>
    <row r="5" spans="1:17">
      <c r="A5" s="77" t="s">
        <v>117</v>
      </c>
      <c r="B5" s="439" t="s">
        <v>159</v>
      </c>
      <c r="C5" s="440"/>
      <c r="D5" s="440"/>
      <c r="E5" s="440"/>
      <c r="F5" s="440"/>
      <c r="G5" s="441"/>
      <c r="H5" s="116" t="s">
        <v>43</v>
      </c>
      <c r="I5" s="118" t="s">
        <v>88</v>
      </c>
      <c r="J5" s="118"/>
    </row>
    <row r="6" spans="1:17">
      <c r="A6" s="77" t="s">
        <v>118</v>
      </c>
      <c r="B6" s="439" t="s">
        <v>154</v>
      </c>
      <c r="C6" s="440"/>
      <c r="D6" s="441"/>
      <c r="E6" s="116" t="s">
        <v>43</v>
      </c>
      <c r="F6" s="117" t="str">
        <f>IF($I$5 = 0,"", $I$5)</f>
        <v>使用者</v>
      </c>
      <c r="G6" s="117" t="str">
        <f>IF($J$5 = 0,"", $J$5)</f>
        <v/>
      </c>
      <c r="H6" s="116" t="s">
        <v>66</v>
      </c>
      <c r="I6" s="118"/>
      <c r="J6" s="118"/>
    </row>
    <row r="7" spans="1:17">
      <c r="A7" s="78" t="s">
        <v>6</v>
      </c>
      <c r="B7" s="505"/>
      <c r="C7" s="506"/>
      <c r="D7" s="507"/>
      <c r="E7" s="116" t="s">
        <v>66</v>
      </c>
      <c r="F7" s="44" t="str">
        <f>IF($I$6 = 0,"", $I$6)</f>
        <v/>
      </c>
      <c r="G7" s="44" t="str">
        <f>IF($J$6 = 0,"", $J$6)</f>
        <v/>
      </c>
      <c r="H7" s="116" t="s">
        <v>85</v>
      </c>
      <c r="I7" s="118" t="s">
        <v>112</v>
      </c>
      <c r="J7" s="96" t="s">
        <v>62</v>
      </c>
      <c r="L7" s="191" t="s">
        <v>193</v>
      </c>
    </row>
    <row r="8" spans="1:17">
      <c r="A8" s="156" t="s">
        <v>155</v>
      </c>
      <c r="B8" s="602" t="s">
        <v>156</v>
      </c>
      <c r="C8" s="595"/>
      <c r="D8" s="595"/>
      <c r="E8" s="595"/>
      <c r="F8" s="595"/>
      <c r="G8" s="596"/>
      <c r="H8" s="116" t="s">
        <v>51</v>
      </c>
      <c r="I8" s="118" t="s">
        <v>17</v>
      </c>
      <c r="J8" s="117">
        <f>IF($I$8 = "筋力",基本!$C$5,IF($I$8 = "耐久力",基本!$C$6,IF($I$8 = "敏捷力",基本!$C$7,IF($I$8 = "知力",基本!$C$8,IF($I$8 = "判断力",基本!$C$9,IF($I$8 = "魅力",基本!$C$10,""))))))</f>
        <v>6</v>
      </c>
      <c r="K8" s="118" t="s">
        <v>115</v>
      </c>
      <c r="L8" s="192">
        <f>$J$8+$L$9+$I$9</f>
        <v>6</v>
      </c>
    </row>
    <row r="9" spans="1:17" ht="13.5" customHeight="1">
      <c r="A9" s="156" t="s">
        <v>61</v>
      </c>
      <c r="B9" s="594" t="s">
        <v>157</v>
      </c>
      <c r="C9" s="595"/>
      <c r="D9" s="595"/>
      <c r="E9" s="595"/>
      <c r="F9" s="595"/>
      <c r="G9" s="596"/>
      <c r="H9" s="116" t="s">
        <v>58</v>
      </c>
      <c r="I9" s="118">
        <v>0</v>
      </c>
      <c r="J9" s="381" t="s">
        <v>53</v>
      </c>
      <c r="K9" s="383"/>
      <c r="L9" s="117">
        <f>IF($I$7=基本!$F$4,基本!$O$7,IF($I$7=基本!$F$13,基本!$O$16,IF($I$7=基本!$F$22,基本!$O$25,IF($I$7=基本!$F$31,基本!$O$34,IF($I$7=基本!$F$40,基本!$O$43,0)))))</f>
        <v>0</v>
      </c>
    </row>
    <row r="10" spans="1:17" ht="13.5" customHeight="1">
      <c r="A10" s="157"/>
      <c r="B10" s="464" t="s">
        <v>158</v>
      </c>
      <c r="C10" s="368"/>
      <c r="D10" s="368"/>
      <c r="E10" s="368"/>
      <c r="F10" s="368"/>
      <c r="G10" s="465"/>
      <c r="H10" s="101" t="s">
        <v>52</v>
      </c>
      <c r="I10" s="118" t="s">
        <v>17</v>
      </c>
      <c r="J10" s="100">
        <f>IF($I$10 = "筋力",基本!$C$5,IF($I$10 = "耐久力",基本!$C$6,IF($I$10 = "敏捷力",基本!$C$7,IF($I$10 = "知力",基本!$C$8,IF($I$10 = "判断力",基本!$C$9,IF($I$10 = "魅力",基本!$C$10,""))))))</f>
        <v>6</v>
      </c>
      <c r="L10" s="91"/>
    </row>
    <row r="11" spans="1:17" ht="13.5" customHeight="1">
      <c r="A11" s="80"/>
      <c r="B11" s="464"/>
      <c r="C11" s="368"/>
      <c r="D11" s="368"/>
      <c r="E11" s="368"/>
      <c r="F11" s="368"/>
      <c r="G11" s="465"/>
      <c r="H11" s="116" t="s">
        <v>59</v>
      </c>
      <c r="I11" s="118">
        <v>0</v>
      </c>
      <c r="J11" s="381" t="s">
        <v>54</v>
      </c>
      <c r="K11" s="383"/>
      <c r="L11" s="117">
        <f>IF($I$7=基本!$F$4,基本!$O$9,IF($I$7=基本!$F$13,基本!$O$18,IF($I$7=基本!$F$22,基本!$O$27,IF($I$7=基本!$F$31,基本!$O$36,IF($I$7=基本!$F$40,基本!$O$45,0)))))</f>
        <v>0</v>
      </c>
    </row>
    <row r="12" spans="1:17" ht="13.5" customHeight="1">
      <c r="A12" s="80"/>
      <c r="B12" s="464"/>
      <c r="C12" s="368"/>
      <c r="D12" s="368"/>
      <c r="E12" s="368"/>
      <c r="F12" s="368"/>
      <c r="G12" s="465"/>
      <c r="L12" s="191" t="s">
        <v>193</v>
      </c>
      <c r="M12" s="173"/>
      <c r="N12" s="173"/>
      <c r="O12" s="173"/>
      <c r="P12" s="173"/>
      <c r="Q12" s="173"/>
    </row>
    <row r="13" spans="1:17" ht="13.5" customHeight="1">
      <c r="A13" s="80"/>
      <c r="B13" s="464"/>
      <c r="C13" s="368"/>
      <c r="D13" s="368"/>
      <c r="E13" s="368"/>
      <c r="F13" s="368"/>
      <c r="G13" s="465"/>
      <c r="H13" s="177" t="s">
        <v>86</v>
      </c>
      <c r="I13" s="118">
        <v>1</v>
      </c>
      <c r="J13" s="116" t="s">
        <v>44</v>
      </c>
      <c r="K13" s="118">
        <v>10</v>
      </c>
      <c r="L13" s="192">
        <f>$J$10+$L$11+$I$11</f>
        <v>6</v>
      </c>
    </row>
    <row r="14" spans="1:17" ht="13.5" customHeight="1">
      <c r="A14" s="80"/>
      <c r="B14" s="464"/>
      <c r="C14" s="368"/>
      <c r="D14" s="368"/>
      <c r="E14" s="368"/>
      <c r="F14" s="368"/>
      <c r="G14" s="465"/>
      <c r="H14" s="116" t="s">
        <v>50</v>
      </c>
      <c r="I14" s="32">
        <f>IF($I$7=基本!$F$4,基本!$L$11,IF($I$7=基本!$F$13,基本!$L$20,IF($I$7=基本!$F$22,基本!$L$29,IF($I$7=基本!$F$31,基本!$L$38,IF($I$7=基本!$F$40,基本!$L$47,0)))))</f>
        <v>0</v>
      </c>
      <c r="J14" s="177" t="s">
        <v>194</v>
      </c>
      <c r="K14" s="32">
        <f>IF($I$7=基本!$F$4,基本!$N$11,IF($I$7=基本!$F$13,基本!$N$20,IF($I$7=基本!$F$22,基本!$N$29,IF($I$7=基本!$F$31,基本!$N$38,IF($I$7=基本!$F$40,基本!$N$47,0)))))</f>
        <v>0</v>
      </c>
      <c r="L14" s="192">
        <f>$J$10+$L$11+$I$11+($I$13*$K$13)</f>
        <v>16</v>
      </c>
    </row>
    <row r="15" spans="1:17" ht="13.5" customHeight="1">
      <c r="A15" s="80"/>
      <c r="B15" s="464"/>
      <c r="C15" s="368"/>
      <c r="D15" s="368"/>
      <c r="E15" s="368"/>
      <c r="F15" s="368"/>
      <c r="G15" s="465"/>
      <c r="H15" s="116" t="s">
        <v>60</v>
      </c>
      <c r="I15" s="118"/>
      <c r="J15" s="177" t="s">
        <v>195</v>
      </c>
      <c r="K15" s="179" t="s">
        <v>17</v>
      </c>
      <c r="L15" s="176">
        <f>IF(K15="",0,VLOOKUP(K15,基本!$A$5:'基本'!$C$10,3,FALSE))</f>
        <v>6</v>
      </c>
    </row>
    <row r="16" spans="1:17" ht="13.5" customHeight="1">
      <c r="A16" s="80"/>
      <c r="B16" s="464"/>
      <c r="C16" s="368"/>
      <c r="D16" s="368"/>
      <c r="E16" s="368"/>
      <c r="F16" s="368"/>
      <c r="G16" s="465"/>
    </row>
    <row r="17" spans="1:12" ht="13.5" customHeight="1">
      <c r="A17" s="80"/>
      <c r="B17" s="464"/>
      <c r="C17" s="368"/>
      <c r="D17" s="368"/>
      <c r="E17" s="368"/>
      <c r="F17" s="368"/>
      <c r="G17" s="465"/>
    </row>
    <row r="18" spans="1:12" ht="13.5" customHeight="1">
      <c r="A18" s="80"/>
      <c r="B18" s="464"/>
      <c r="C18" s="368"/>
      <c r="D18" s="368"/>
      <c r="E18" s="368"/>
      <c r="F18" s="368"/>
      <c r="G18" s="465"/>
    </row>
    <row r="19" spans="1:12" ht="13.5" customHeight="1">
      <c r="A19" s="80"/>
      <c r="B19" s="464"/>
      <c r="C19" s="368"/>
      <c r="D19" s="368"/>
      <c r="E19" s="368"/>
      <c r="F19" s="368"/>
      <c r="G19" s="465"/>
      <c r="K19" s="119"/>
    </row>
    <row r="20" spans="1:12" ht="13.5" customHeight="1">
      <c r="A20" s="81"/>
      <c r="B20" s="609"/>
      <c r="C20" s="610"/>
      <c r="D20" s="610"/>
      <c r="E20" s="610"/>
      <c r="F20" s="610"/>
      <c r="G20" s="611"/>
      <c r="J20" s="119"/>
      <c r="K20" s="119"/>
    </row>
    <row r="21" spans="1:12">
      <c r="A21" s="610"/>
      <c r="B21" s="610"/>
      <c r="C21" s="610"/>
      <c r="D21" s="610"/>
      <c r="E21" s="610"/>
      <c r="F21" s="610"/>
      <c r="G21" s="610"/>
    </row>
    <row r="22" spans="1:12" ht="13.5" customHeight="1">
      <c r="A22" s="473" t="s">
        <v>49</v>
      </c>
      <c r="B22" s="474"/>
      <c r="C22" s="474"/>
      <c r="D22" s="474"/>
      <c r="E22" s="474"/>
      <c r="F22" s="474"/>
      <c r="G22" s="475"/>
    </row>
    <row r="23" spans="1:12" ht="13.5" customHeight="1">
      <c r="A23" s="606"/>
      <c r="B23" s="607"/>
      <c r="C23" s="607"/>
      <c r="D23" s="607"/>
      <c r="E23" s="607"/>
      <c r="F23" s="607"/>
      <c r="G23" s="608"/>
    </row>
    <row r="24" spans="1:12" s="143" customFormat="1" ht="24.75" customHeight="1">
      <c r="A24" s="580" t="s">
        <v>163</v>
      </c>
      <c r="B24" s="581"/>
      <c r="C24" s="581"/>
      <c r="D24" s="581"/>
      <c r="E24" s="581"/>
      <c r="F24" s="581"/>
      <c r="G24" s="582"/>
      <c r="H24" s="91"/>
      <c r="I24" s="91"/>
      <c r="J24" s="91"/>
      <c r="K24" s="91"/>
    </row>
    <row r="25" spans="1:12" s="143" customFormat="1" ht="24.75" customHeight="1">
      <c r="A25" s="603" t="s">
        <v>164</v>
      </c>
      <c r="B25" s="604"/>
      <c r="C25" s="604"/>
      <c r="D25" s="604"/>
      <c r="E25" s="604"/>
      <c r="F25" s="604"/>
      <c r="G25" s="605"/>
      <c r="H25" s="91"/>
      <c r="I25" s="91"/>
      <c r="J25" s="91"/>
      <c r="K25" s="91"/>
    </row>
    <row r="26" spans="1:12" s="91" customFormat="1">
      <c r="A26" s="464"/>
      <c r="B26" s="368"/>
      <c r="C26" s="368"/>
      <c r="D26" s="368"/>
      <c r="E26" s="368"/>
      <c r="F26" s="368"/>
      <c r="G26" s="465"/>
      <c r="L26" s="143"/>
    </row>
    <row r="27" spans="1:12" s="91" customFormat="1">
      <c r="A27" s="464" t="s">
        <v>165</v>
      </c>
      <c r="B27" s="368"/>
      <c r="C27" s="368"/>
      <c r="D27" s="368"/>
      <c r="E27" s="368"/>
      <c r="F27" s="368"/>
      <c r="G27" s="465"/>
      <c r="L27" s="143"/>
    </row>
    <row r="28" spans="1:12" s="143" customFormat="1">
      <c r="A28" s="464" t="s">
        <v>290</v>
      </c>
      <c r="B28" s="368"/>
      <c r="C28" s="368"/>
      <c r="D28" s="368"/>
      <c r="E28" s="368"/>
      <c r="F28" s="368"/>
      <c r="G28" s="465"/>
      <c r="H28" s="91"/>
      <c r="I28" s="91"/>
      <c r="J28" s="91"/>
      <c r="K28" s="91"/>
    </row>
    <row r="29" spans="1:12" s="91" customFormat="1" ht="13.5" customHeight="1">
      <c r="A29" s="606"/>
      <c r="B29" s="607"/>
      <c r="C29" s="607"/>
      <c r="D29" s="607"/>
      <c r="E29" s="607"/>
      <c r="F29" s="607"/>
      <c r="G29" s="608"/>
      <c r="L29" s="143"/>
    </row>
    <row r="30" spans="1:12" s="91" customFormat="1">
      <c r="A30" s="464" t="s">
        <v>166</v>
      </c>
      <c r="B30" s="368"/>
      <c r="C30" s="368"/>
      <c r="D30" s="368"/>
      <c r="E30" s="368"/>
      <c r="F30" s="368"/>
      <c r="G30" s="465"/>
      <c r="L30" s="143"/>
    </row>
    <row r="31" spans="1:12" s="91" customFormat="1">
      <c r="A31" s="464" t="s">
        <v>291</v>
      </c>
      <c r="B31" s="368"/>
      <c r="C31" s="368"/>
      <c r="D31" s="368"/>
      <c r="E31" s="368"/>
      <c r="F31" s="368"/>
      <c r="G31" s="465"/>
      <c r="L31" s="143"/>
    </row>
    <row r="32" spans="1:12" s="91" customFormat="1" ht="13.5" customHeight="1">
      <c r="A32" s="606"/>
      <c r="B32" s="607"/>
      <c r="C32" s="607"/>
      <c r="D32" s="607"/>
      <c r="E32" s="607"/>
      <c r="F32" s="607"/>
      <c r="G32" s="608"/>
      <c r="L32" s="119"/>
    </row>
    <row r="33" spans="1:12" s="91" customFormat="1" ht="13.5" customHeight="1">
      <c r="A33" s="481" t="s">
        <v>289</v>
      </c>
      <c r="B33" s="482"/>
      <c r="C33" s="482"/>
      <c r="D33" s="482"/>
      <c r="E33" s="482"/>
      <c r="F33" s="482"/>
      <c r="G33" s="483"/>
      <c r="L33" s="119"/>
    </row>
    <row r="34" spans="1:12" s="91" customFormat="1" ht="13.5" customHeight="1">
      <c r="A34" s="606" t="s">
        <v>292</v>
      </c>
      <c r="B34" s="607"/>
      <c r="C34" s="607"/>
      <c r="D34" s="607"/>
      <c r="E34" s="607"/>
      <c r="F34" s="607"/>
      <c r="G34" s="608"/>
      <c r="L34" s="119"/>
    </row>
    <row r="35" spans="1:12" s="91" customFormat="1" ht="13.5" customHeight="1">
      <c r="A35" s="606" t="s">
        <v>375</v>
      </c>
      <c r="B35" s="607"/>
      <c r="C35" s="607"/>
      <c r="D35" s="607"/>
      <c r="E35" s="607"/>
      <c r="F35" s="607"/>
      <c r="G35" s="608"/>
      <c r="L35" s="119"/>
    </row>
    <row r="36" spans="1:12" ht="13.5" customHeight="1">
      <c r="A36" s="606"/>
      <c r="B36" s="607"/>
      <c r="C36" s="607"/>
      <c r="D36" s="607"/>
      <c r="E36" s="607"/>
      <c r="F36" s="607"/>
      <c r="G36" s="608"/>
    </row>
    <row r="37" spans="1:12" s="91" customFormat="1" ht="13.5" customHeight="1">
      <c r="A37" s="606" t="s">
        <v>470</v>
      </c>
      <c r="B37" s="607"/>
      <c r="C37" s="607"/>
      <c r="D37" s="607"/>
      <c r="E37" s="607"/>
      <c r="F37" s="607"/>
      <c r="G37" s="608"/>
      <c r="L37" s="119"/>
    </row>
    <row r="38" spans="1:12" ht="13.5" customHeight="1">
      <c r="A38" s="606" t="s">
        <v>329</v>
      </c>
      <c r="B38" s="607"/>
      <c r="C38" s="607"/>
      <c r="D38" s="607"/>
      <c r="E38" s="607"/>
      <c r="F38" s="607"/>
      <c r="G38" s="608"/>
    </row>
    <row r="39" spans="1:12" s="91" customFormat="1" ht="13.5" customHeight="1">
      <c r="A39" s="606" t="s">
        <v>326</v>
      </c>
      <c r="B39" s="607"/>
      <c r="C39" s="607"/>
      <c r="D39" s="607"/>
      <c r="E39" s="607"/>
      <c r="F39" s="607"/>
      <c r="G39" s="608"/>
      <c r="L39" s="119"/>
    </row>
    <row r="40" spans="1:12" s="91" customFormat="1" ht="13.5" customHeight="1">
      <c r="A40" s="481"/>
      <c r="B40" s="482"/>
      <c r="C40" s="482"/>
      <c r="D40" s="482"/>
      <c r="E40" s="482"/>
      <c r="F40" s="482"/>
      <c r="G40" s="483"/>
      <c r="L40" s="119"/>
    </row>
    <row r="41" spans="1:12" s="91" customFormat="1" ht="13.5" customHeight="1">
      <c r="A41" s="481" t="s">
        <v>498</v>
      </c>
      <c r="B41" s="482"/>
      <c r="C41" s="482"/>
      <c r="D41" s="482"/>
      <c r="E41" s="482"/>
      <c r="F41" s="482"/>
      <c r="G41" s="483"/>
      <c r="L41" s="119"/>
    </row>
    <row r="42" spans="1:12" ht="13.5" customHeight="1">
      <c r="A42" s="606" t="s">
        <v>495</v>
      </c>
      <c r="B42" s="607"/>
      <c r="C42" s="607"/>
      <c r="D42" s="607"/>
      <c r="E42" s="607"/>
      <c r="F42" s="607"/>
      <c r="G42" s="608"/>
    </row>
    <row r="43" spans="1:12" s="91" customFormat="1" ht="13.5" customHeight="1">
      <c r="A43" s="606" t="s">
        <v>496</v>
      </c>
      <c r="B43" s="607"/>
      <c r="C43" s="607"/>
      <c r="D43" s="607"/>
      <c r="E43" s="607"/>
      <c r="F43" s="607"/>
      <c r="G43" s="608"/>
      <c r="L43" s="119"/>
    </row>
    <row r="44" spans="1:12" s="91" customFormat="1" ht="13.5" customHeight="1">
      <c r="A44" s="481" t="s">
        <v>497</v>
      </c>
      <c r="B44" s="482"/>
      <c r="C44" s="482"/>
      <c r="D44" s="482"/>
      <c r="E44" s="482"/>
      <c r="F44" s="482"/>
      <c r="G44" s="483"/>
      <c r="L44" s="119"/>
    </row>
    <row r="45" spans="1:12" s="91" customFormat="1" ht="13.5" customHeight="1">
      <c r="A45" s="606" t="s">
        <v>500</v>
      </c>
      <c r="B45" s="607"/>
      <c r="C45" s="607"/>
      <c r="D45" s="607"/>
      <c r="E45" s="607"/>
      <c r="F45" s="607"/>
      <c r="G45" s="608"/>
      <c r="L45" s="119"/>
    </row>
    <row r="46" spans="1:12" s="91" customFormat="1" ht="13.5" customHeight="1">
      <c r="A46" s="606" t="s">
        <v>499</v>
      </c>
      <c r="B46" s="607"/>
      <c r="C46" s="607"/>
      <c r="D46" s="607"/>
      <c r="E46" s="607"/>
      <c r="F46" s="607"/>
      <c r="G46" s="608"/>
      <c r="L46" s="119"/>
    </row>
    <row r="47" spans="1:12" s="91" customFormat="1" ht="13.5" customHeight="1">
      <c r="A47" s="606"/>
      <c r="B47" s="607"/>
      <c r="C47" s="607"/>
      <c r="D47" s="607"/>
      <c r="E47" s="607"/>
      <c r="F47" s="607"/>
      <c r="G47" s="608"/>
      <c r="L47" s="119"/>
    </row>
    <row r="48" spans="1:12" s="91" customFormat="1" ht="13.5" customHeight="1">
      <c r="A48" s="481" t="s">
        <v>469</v>
      </c>
      <c r="B48" s="482"/>
      <c r="C48" s="482"/>
      <c r="D48" s="482"/>
      <c r="E48" s="482"/>
      <c r="F48" s="482"/>
      <c r="G48" s="483"/>
      <c r="L48" s="119"/>
    </row>
    <row r="49" spans="1:12" s="91" customFormat="1" ht="13.5" customHeight="1">
      <c r="A49" s="606" t="s">
        <v>330</v>
      </c>
      <c r="B49" s="607"/>
      <c r="C49" s="607"/>
      <c r="D49" s="607"/>
      <c r="E49" s="607"/>
      <c r="F49" s="607"/>
      <c r="G49" s="608"/>
      <c r="L49" s="119"/>
    </row>
    <row r="50" spans="1:12" s="91" customFormat="1" ht="13.5" customHeight="1">
      <c r="A50" s="606"/>
      <c r="B50" s="607"/>
      <c r="C50" s="607"/>
      <c r="D50" s="607"/>
      <c r="E50" s="607"/>
      <c r="F50" s="607"/>
      <c r="G50" s="608"/>
      <c r="L50" s="140"/>
    </row>
    <row r="51" spans="1:12" s="91" customFormat="1" ht="13.5" customHeight="1">
      <c r="A51" s="606"/>
      <c r="B51" s="607"/>
      <c r="C51" s="607"/>
      <c r="D51" s="607"/>
      <c r="E51" s="607"/>
      <c r="F51" s="607"/>
      <c r="G51" s="608"/>
      <c r="L51" s="140"/>
    </row>
    <row r="52" spans="1:12" s="91" customFormat="1" ht="13.5" customHeight="1">
      <c r="A52" s="606"/>
      <c r="B52" s="607"/>
      <c r="C52" s="607"/>
      <c r="D52" s="607"/>
      <c r="E52" s="607"/>
      <c r="F52" s="607"/>
      <c r="G52" s="608"/>
      <c r="L52" s="119"/>
    </row>
    <row r="53" spans="1:12" ht="21">
      <c r="A53" s="612" t="str">
        <f>$B$1</f>
        <v>種族パワー</v>
      </c>
      <c r="B53" s="613"/>
      <c r="C53" s="36" t="s">
        <v>40</v>
      </c>
      <c r="D53" s="37" t="str">
        <f>$E$1</f>
        <v>遭遇毎</v>
      </c>
      <c r="E53" s="537" t="str">
        <f>$B$2</f>
        <v>セカンド・チャンス</v>
      </c>
      <c r="F53" s="538"/>
      <c r="G53" s="539"/>
    </row>
  </sheetData>
  <mergeCells count="57">
    <mergeCell ref="A48:G48"/>
    <mergeCell ref="A35:G35"/>
    <mergeCell ref="A37:G37"/>
    <mergeCell ref="E53:G53"/>
    <mergeCell ref="A46:G46"/>
    <mergeCell ref="A52:G52"/>
    <mergeCell ref="A50:G50"/>
    <mergeCell ref="A51:G51"/>
    <mergeCell ref="A42:G42"/>
    <mergeCell ref="A43:G43"/>
    <mergeCell ref="A47:G47"/>
    <mergeCell ref="A44:G44"/>
    <mergeCell ref="A45:G45"/>
    <mergeCell ref="A41:G41"/>
    <mergeCell ref="A53:B53"/>
    <mergeCell ref="B16:G16"/>
    <mergeCell ref="A23:G23"/>
    <mergeCell ref="A36:G36"/>
    <mergeCell ref="A32:G32"/>
    <mergeCell ref="A49:G49"/>
    <mergeCell ref="B17:G17"/>
    <mergeCell ref="B18:G18"/>
    <mergeCell ref="B19:G19"/>
    <mergeCell ref="B20:G20"/>
    <mergeCell ref="A21:G21"/>
    <mergeCell ref="A22:G22"/>
    <mergeCell ref="A39:G39"/>
    <mergeCell ref="A40:G40"/>
    <mergeCell ref="A33:G33"/>
    <mergeCell ref="A38:G38"/>
    <mergeCell ref="A34:G34"/>
    <mergeCell ref="B12:G12"/>
    <mergeCell ref="J11:K11"/>
    <mergeCell ref="B13:G13"/>
    <mergeCell ref="B14:G14"/>
    <mergeCell ref="B15:G15"/>
    <mergeCell ref="A28:G28"/>
    <mergeCell ref="A30:G30"/>
    <mergeCell ref="A31:G31"/>
    <mergeCell ref="A24:G24"/>
    <mergeCell ref="A25:G25"/>
    <mergeCell ref="A26:G26"/>
    <mergeCell ref="A27:G27"/>
    <mergeCell ref="A29:G29"/>
    <mergeCell ref="J9:K9"/>
    <mergeCell ref="B11:G11"/>
    <mergeCell ref="B1:C1"/>
    <mergeCell ref="F1:G1"/>
    <mergeCell ref="B2:G2"/>
    <mergeCell ref="B4:G4"/>
    <mergeCell ref="B5:G5"/>
    <mergeCell ref="B6:D6"/>
    <mergeCell ref="B7:D7"/>
    <mergeCell ref="B8:G8"/>
    <mergeCell ref="B9:G9"/>
    <mergeCell ref="B10:G10"/>
    <mergeCell ref="H4:L4"/>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Q54"/>
  <sheetViews>
    <sheetView zoomScaleNormal="100" workbookViewId="0">
      <selection activeCell="B5" sqref="B5:G5"/>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7" ht="21">
      <c r="A1" s="38" t="s">
        <v>128</v>
      </c>
      <c r="B1" s="545">
        <v>2</v>
      </c>
      <c r="C1" s="546"/>
      <c r="D1" s="39" t="s">
        <v>40</v>
      </c>
      <c r="E1" s="40" t="s">
        <v>57</v>
      </c>
      <c r="F1" s="531"/>
      <c r="G1" s="532"/>
      <c r="H1" s="13" t="s">
        <v>55</v>
      </c>
    </row>
    <row r="2" spans="1:17" ht="24.75" customHeight="1">
      <c r="A2" s="39" t="s">
        <v>0</v>
      </c>
      <c r="B2" s="533" t="s">
        <v>236</v>
      </c>
      <c r="C2" s="533"/>
      <c r="D2" s="533"/>
      <c r="E2" s="533"/>
      <c r="F2" s="533"/>
      <c r="G2" s="533"/>
      <c r="H2" s="13" t="s">
        <v>56</v>
      </c>
    </row>
    <row r="3" spans="1:17" ht="19.5" customHeight="1">
      <c r="A3" s="20" t="s">
        <v>48</v>
      </c>
      <c r="B3" s="1"/>
      <c r="C3" s="1"/>
      <c r="D3" s="1"/>
      <c r="I3" s="13"/>
    </row>
    <row r="4" spans="1:17">
      <c r="A4" s="76" t="s">
        <v>46</v>
      </c>
      <c r="B4" s="439" t="s">
        <v>160</v>
      </c>
      <c r="C4" s="440"/>
      <c r="D4" s="440"/>
      <c r="E4" s="440"/>
      <c r="F4" s="440"/>
      <c r="G4" s="441"/>
      <c r="H4" s="381" t="s">
        <v>201</v>
      </c>
      <c r="I4" s="382"/>
      <c r="J4" s="382"/>
      <c r="K4" s="382"/>
      <c r="L4" s="383"/>
    </row>
    <row r="5" spans="1:17">
      <c r="A5" s="77" t="s">
        <v>39</v>
      </c>
      <c r="B5" s="439" t="s">
        <v>237</v>
      </c>
      <c r="C5" s="440"/>
      <c r="D5" s="440"/>
      <c r="E5" s="440"/>
      <c r="F5" s="440"/>
      <c r="G5" s="441"/>
      <c r="H5" s="56" t="s">
        <v>43</v>
      </c>
      <c r="I5" s="57" t="s">
        <v>88</v>
      </c>
      <c r="J5" s="57"/>
      <c r="K5" s="27"/>
      <c r="L5" s="46"/>
    </row>
    <row r="6" spans="1:17">
      <c r="A6" s="77" t="s">
        <v>7</v>
      </c>
      <c r="B6" s="615" t="s">
        <v>238</v>
      </c>
      <c r="C6" s="616"/>
      <c r="D6" s="617"/>
      <c r="E6" s="53" t="s">
        <v>43</v>
      </c>
      <c r="F6" s="52" t="str">
        <f>IF($I$5 = 0,"", $I$5)</f>
        <v>使用者</v>
      </c>
      <c r="G6" s="52" t="str">
        <f>IF($J$5 = 0,"", $J$5)</f>
        <v/>
      </c>
      <c r="H6" s="56" t="s">
        <v>66</v>
      </c>
      <c r="I6" s="57"/>
      <c r="J6" s="57"/>
      <c r="K6" s="27"/>
      <c r="L6" s="46"/>
    </row>
    <row r="7" spans="1:17">
      <c r="A7" s="78" t="s">
        <v>116</v>
      </c>
      <c r="B7" s="439"/>
      <c r="C7" s="440"/>
      <c r="D7" s="441"/>
      <c r="E7" s="53" t="s">
        <v>66</v>
      </c>
      <c r="F7" s="52" t="str">
        <f>IF($I$6 = 0,"", $I$6)</f>
        <v/>
      </c>
      <c r="G7" s="52" t="str">
        <f>IF($J$6 = 0,"", $J$6)</f>
        <v/>
      </c>
      <c r="H7" s="138" t="s">
        <v>85</v>
      </c>
      <c r="I7" s="57" t="s">
        <v>112</v>
      </c>
      <c r="J7" s="31" t="s">
        <v>62</v>
      </c>
      <c r="K7" s="27"/>
      <c r="L7" s="191" t="s">
        <v>193</v>
      </c>
    </row>
    <row r="8" spans="1:17" ht="13.5" customHeight="1">
      <c r="A8" s="79" t="s">
        <v>61</v>
      </c>
      <c r="B8" s="444" t="s">
        <v>239</v>
      </c>
      <c r="C8" s="445"/>
      <c r="D8" s="445"/>
      <c r="E8" s="445"/>
      <c r="F8" s="445"/>
      <c r="G8" s="446"/>
      <c r="H8" s="138" t="s">
        <v>51</v>
      </c>
      <c r="I8" s="57" t="s">
        <v>17</v>
      </c>
      <c r="J8" s="55">
        <f>IF($I$8 = "筋力",基本!$C$5,IF($I$8 = "耐久力",基本!$C$6,IF($I$8 = "敏捷力",基本!$C$7,IF($I$8 = "知力",基本!$C$8,IF($I$8 = "判断力",基本!$C$9,IF($I$8 = "魅力",基本!$C$10,""))))))</f>
        <v>6</v>
      </c>
      <c r="K8" s="57" t="s">
        <v>90</v>
      </c>
      <c r="L8" s="192">
        <f>$J$8+$L$9+$I$9</f>
        <v>7</v>
      </c>
    </row>
    <row r="9" spans="1:17" ht="13.5" customHeight="1">
      <c r="A9" s="80"/>
      <c r="B9" s="464"/>
      <c r="C9" s="368"/>
      <c r="D9" s="368"/>
      <c r="E9" s="368"/>
      <c r="F9" s="368"/>
      <c r="G9" s="465"/>
      <c r="H9" s="138" t="s">
        <v>58</v>
      </c>
      <c r="I9" s="57">
        <v>1</v>
      </c>
      <c r="J9" s="381" t="s">
        <v>53</v>
      </c>
      <c r="K9" s="383"/>
      <c r="L9" s="55">
        <f>IF($I$7=基本!$F$4,基本!$O$7,IF($I$7=基本!$F$13,基本!$O$16,IF($I$7=基本!$F$22,基本!$O$25,IF($I$7=基本!$F$31,基本!$O$34,IF($I$7=基本!$F$40,基本!$O$43,0)))))</f>
        <v>0</v>
      </c>
    </row>
    <row r="10" spans="1:17" ht="21">
      <c r="A10" s="80"/>
      <c r="B10" s="571" t="str">
        <f>INT(基本!$B$15 /2)+3 &amp; " マス瞬間移動"</f>
        <v>6 マス瞬間移動</v>
      </c>
      <c r="C10" s="572"/>
      <c r="D10" s="572"/>
      <c r="E10" s="572"/>
      <c r="F10" s="572"/>
      <c r="G10" s="573"/>
      <c r="H10" s="101" t="s">
        <v>52</v>
      </c>
      <c r="I10" s="57" t="s">
        <v>17</v>
      </c>
      <c r="J10" s="34">
        <f>IF($I$8 = "筋力",基本!$C$5,IF($I$10 = "耐久力",基本!$C$6,IF($I$10 = "敏捷力",基本!$C$7,IF($I$10 = "知力",基本!$C$8,IF($I$10 = "判断力",基本!$C$9,IF($I$10 = "魅力",基本!$C$10,""))))))</f>
        <v>6</v>
      </c>
      <c r="K10" s="27"/>
      <c r="L10" s="27"/>
    </row>
    <row r="11" spans="1:17" ht="13.5" customHeight="1">
      <c r="A11" s="80"/>
      <c r="B11" s="618"/>
      <c r="C11" s="619"/>
      <c r="D11" s="619"/>
      <c r="E11" s="619"/>
      <c r="F11" s="619"/>
      <c r="G11" s="620"/>
      <c r="H11" s="56" t="s">
        <v>59</v>
      </c>
      <c r="I11" s="57">
        <v>0</v>
      </c>
      <c r="J11" s="381" t="s">
        <v>54</v>
      </c>
      <c r="K11" s="383"/>
      <c r="L11" s="55">
        <f>IF($I$7=基本!$F$4,基本!$O$9,IF($I$7=基本!$F$13,基本!$O$18,IF($I$7=基本!$F$22,基本!$O$27,IF($I$7=基本!$F$31,基本!$O$36,IF($I$7=基本!$F$40,基本!$O$45,0)))))</f>
        <v>0</v>
      </c>
    </row>
    <row r="12" spans="1:17" ht="13.5" customHeight="1">
      <c r="A12" s="80"/>
      <c r="B12" s="621"/>
      <c r="C12" s="622"/>
      <c r="D12" s="622"/>
      <c r="E12" s="622"/>
      <c r="F12" s="622"/>
      <c r="G12" s="623"/>
      <c r="H12" s="174"/>
      <c r="I12" s="174"/>
      <c r="J12" s="174"/>
      <c r="K12" s="174"/>
      <c r="L12" s="191" t="s">
        <v>193</v>
      </c>
      <c r="M12" s="173"/>
      <c r="N12" s="173"/>
      <c r="O12" s="173"/>
      <c r="P12" s="173"/>
      <c r="Q12" s="173"/>
    </row>
    <row r="13" spans="1:17" ht="13.5" customHeight="1">
      <c r="A13" s="80"/>
      <c r="B13" s="618"/>
      <c r="C13" s="619"/>
      <c r="D13" s="619"/>
      <c r="E13" s="619"/>
      <c r="F13" s="619"/>
      <c r="G13" s="620"/>
      <c r="H13" s="177" t="s">
        <v>86</v>
      </c>
      <c r="I13" s="57">
        <v>1</v>
      </c>
      <c r="J13" s="56" t="s">
        <v>44</v>
      </c>
      <c r="K13" s="57">
        <v>10</v>
      </c>
      <c r="L13" s="192">
        <f>$J$10+$L$11+$I$11</f>
        <v>6</v>
      </c>
    </row>
    <row r="14" spans="1:17" ht="13.5" customHeight="1">
      <c r="A14" s="80"/>
      <c r="B14" s="464"/>
      <c r="C14" s="368"/>
      <c r="D14" s="368"/>
      <c r="E14" s="368"/>
      <c r="F14" s="368"/>
      <c r="G14" s="465"/>
      <c r="H14" s="56" t="s">
        <v>50</v>
      </c>
      <c r="I14" s="32">
        <f>IF($I$7=基本!$F$4,基本!$L$11,IF($I$7=基本!$F$13,基本!$L$20,IF($I$7=基本!$F$22,基本!$L$29,IF($I$7=基本!$F$31,基本!$L$38,IF($I$7=基本!$F$40,基本!$L$47,0)))))</f>
        <v>0</v>
      </c>
      <c r="J14" s="177" t="s">
        <v>194</v>
      </c>
      <c r="K14" s="32">
        <f>IF($I$7=基本!$F$4,基本!$N$11,IF($I$7=基本!$F$13,基本!$N$20,IF($I$7=基本!$F$22,基本!$N$29,IF($I$7=基本!$F$31,基本!$N$38,IF($I$7=基本!$F$40,基本!$N$47,0)))))</f>
        <v>0</v>
      </c>
      <c r="L14" s="192">
        <f>$J$10+$L$11+$I$11+($I$13*$K$13)</f>
        <v>16</v>
      </c>
    </row>
    <row r="15" spans="1:17" ht="13.5" customHeight="1">
      <c r="A15" s="80"/>
      <c r="B15" s="464"/>
      <c r="C15" s="368"/>
      <c r="D15" s="368"/>
      <c r="E15" s="368"/>
      <c r="F15" s="368"/>
      <c r="G15" s="465"/>
      <c r="H15" s="56" t="s">
        <v>60</v>
      </c>
      <c r="I15" s="57"/>
      <c r="J15" s="177" t="s">
        <v>195</v>
      </c>
      <c r="K15" s="179" t="s">
        <v>17</v>
      </c>
      <c r="L15" s="176">
        <f>IF(K15="",0,VLOOKUP(K15,基本!$A$5:'基本'!$C$10,3,FALSE))</f>
        <v>6</v>
      </c>
    </row>
    <row r="16" spans="1:17" ht="13.5" customHeight="1">
      <c r="A16" s="80"/>
      <c r="B16" s="464"/>
      <c r="C16" s="368"/>
      <c r="D16" s="368"/>
      <c r="E16" s="368"/>
      <c r="F16" s="368"/>
      <c r="G16" s="465"/>
      <c r="H16" s="27"/>
      <c r="I16" s="27"/>
      <c r="J16" s="27"/>
      <c r="K16" s="27"/>
      <c r="L16" s="46"/>
    </row>
    <row r="17" spans="1:12" ht="13.5" customHeight="1">
      <c r="A17" s="80"/>
      <c r="B17" s="464"/>
      <c r="C17" s="368"/>
      <c r="D17" s="368"/>
      <c r="E17" s="368"/>
      <c r="F17" s="368"/>
      <c r="G17" s="465"/>
      <c r="J17"/>
      <c r="K17"/>
    </row>
    <row r="18" spans="1:12" ht="13.5" customHeight="1">
      <c r="A18" s="81"/>
      <c r="B18" s="609"/>
      <c r="C18" s="610"/>
      <c r="D18" s="610"/>
      <c r="E18" s="610"/>
      <c r="F18" s="610"/>
      <c r="G18" s="611"/>
      <c r="J18"/>
      <c r="K18"/>
    </row>
    <row r="19" spans="1:12" s="173" customFormat="1" ht="18.75" customHeight="1">
      <c r="A19" s="362" t="s">
        <v>189</v>
      </c>
      <c r="B19" s="362"/>
      <c r="C19" s="362"/>
      <c r="D19" s="362"/>
      <c r="E19" s="362"/>
      <c r="F19" s="362"/>
      <c r="G19" s="362"/>
      <c r="H19" s="91"/>
    </row>
    <row r="20" spans="1:12" s="173" customFormat="1" ht="13.5" customHeight="1">
      <c r="A20" s="373" t="s">
        <v>188</v>
      </c>
      <c r="B20" s="373"/>
      <c r="C20" s="373"/>
      <c r="D20" s="373"/>
      <c r="E20" s="373"/>
      <c r="F20" s="373"/>
      <c r="G20" s="373"/>
      <c r="H20" s="91"/>
      <c r="I20" s="91"/>
      <c r="J20" s="91"/>
      <c r="K20" s="91"/>
    </row>
    <row r="21" spans="1:12" s="173" customFormat="1" ht="13.5" customHeight="1">
      <c r="A21" s="377" t="s">
        <v>190</v>
      </c>
      <c r="B21" s="377"/>
      <c r="C21" s="377"/>
      <c r="D21" s="377"/>
      <c r="E21" s="377"/>
      <c r="F21" s="377"/>
      <c r="G21" s="377"/>
      <c r="H21" s="91"/>
      <c r="I21" s="91"/>
      <c r="J21" s="91"/>
      <c r="K21" s="91"/>
    </row>
    <row r="22" spans="1:12" s="173" customFormat="1" ht="13.5" customHeight="1">
      <c r="A22" s="614" t="s">
        <v>357</v>
      </c>
      <c r="B22" s="373"/>
      <c r="C22" s="373"/>
      <c r="D22" s="373"/>
      <c r="E22" s="373"/>
      <c r="F22" s="373"/>
      <c r="G22" s="373"/>
      <c r="H22" s="91"/>
      <c r="I22" s="91"/>
      <c r="J22" s="91"/>
      <c r="K22" s="91"/>
    </row>
    <row r="23" spans="1:12" s="173" customFormat="1" ht="13.5" customHeight="1">
      <c r="A23" s="377" t="s">
        <v>350</v>
      </c>
      <c r="B23" s="377"/>
      <c r="C23" s="377"/>
      <c r="D23" s="377"/>
      <c r="E23" s="377"/>
      <c r="F23" s="377"/>
      <c r="G23" s="377"/>
      <c r="H23" s="91"/>
      <c r="I23" s="91"/>
      <c r="J23" s="91"/>
      <c r="K23" s="91"/>
    </row>
    <row r="24" spans="1:12">
      <c r="A24" s="610"/>
      <c r="B24" s="610"/>
      <c r="C24" s="610"/>
      <c r="D24" s="610"/>
      <c r="E24" s="610"/>
      <c r="F24" s="610"/>
      <c r="G24" s="610"/>
    </row>
    <row r="25" spans="1:12" ht="13.5" customHeight="1">
      <c r="A25" s="473" t="s">
        <v>49</v>
      </c>
      <c r="B25" s="474"/>
      <c r="C25" s="474"/>
      <c r="D25" s="474"/>
      <c r="E25" s="474"/>
      <c r="F25" s="474"/>
      <c r="G25" s="475"/>
    </row>
    <row r="26" spans="1:12" s="120" customFormat="1" ht="13.5" customHeight="1">
      <c r="A26" s="624"/>
      <c r="B26" s="625"/>
      <c r="C26" s="625"/>
      <c r="D26" s="625"/>
      <c r="E26" s="625"/>
      <c r="F26" s="625"/>
      <c r="G26" s="626"/>
      <c r="L26" s="121"/>
    </row>
    <row r="27" spans="1:12" s="120" customFormat="1" ht="13.5" customHeight="1">
      <c r="A27" s="481" t="s">
        <v>293</v>
      </c>
      <c r="B27" s="482"/>
      <c r="C27" s="482"/>
      <c r="D27" s="482"/>
      <c r="E27" s="482"/>
      <c r="F27" s="482"/>
      <c r="G27" s="483"/>
      <c r="L27" s="121"/>
    </row>
    <row r="28" spans="1:12" s="120" customFormat="1" ht="13.5" customHeight="1">
      <c r="A28" s="481" t="s">
        <v>351</v>
      </c>
      <c r="B28" s="482"/>
      <c r="C28" s="482"/>
      <c r="D28" s="482"/>
      <c r="E28" s="482"/>
      <c r="F28" s="482"/>
      <c r="G28" s="483"/>
      <c r="L28" s="121"/>
    </row>
    <row r="29" spans="1:12" s="120" customFormat="1" ht="13.5" customHeight="1">
      <c r="A29" s="481" t="s">
        <v>349</v>
      </c>
      <c r="B29" s="482"/>
      <c r="C29" s="482"/>
      <c r="D29" s="482"/>
      <c r="E29" s="482"/>
      <c r="F29" s="482"/>
      <c r="G29" s="483"/>
      <c r="L29" s="121"/>
    </row>
    <row r="30" spans="1:12" s="120" customFormat="1" ht="13.5" customHeight="1">
      <c r="A30" s="481"/>
      <c r="B30" s="482"/>
      <c r="C30" s="482"/>
      <c r="D30" s="482"/>
      <c r="E30" s="482"/>
      <c r="F30" s="482"/>
      <c r="G30" s="483"/>
      <c r="L30" s="121"/>
    </row>
    <row r="31" spans="1:12" s="120" customFormat="1" ht="13.5" customHeight="1">
      <c r="A31" s="481" t="s">
        <v>448</v>
      </c>
      <c r="B31" s="482"/>
      <c r="C31" s="482"/>
      <c r="D31" s="482"/>
      <c r="E31" s="482"/>
      <c r="F31" s="482"/>
      <c r="G31" s="483"/>
      <c r="L31" s="121"/>
    </row>
    <row r="32" spans="1:12" s="120" customFormat="1" ht="13.5" customHeight="1">
      <c r="A32" s="481" t="s">
        <v>352</v>
      </c>
      <c r="B32" s="482"/>
      <c r="C32" s="482"/>
      <c r="D32" s="482"/>
      <c r="E32" s="482"/>
      <c r="F32" s="482"/>
      <c r="G32" s="483"/>
      <c r="L32" s="121"/>
    </row>
    <row r="33" spans="1:12" s="120" customFormat="1" ht="13.5" customHeight="1">
      <c r="A33" s="481" t="s">
        <v>353</v>
      </c>
      <c r="B33" s="482"/>
      <c r="C33" s="482"/>
      <c r="D33" s="482"/>
      <c r="E33" s="482"/>
      <c r="F33" s="482"/>
      <c r="G33" s="483"/>
      <c r="L33" s="121"/>
    </row>
    <row r="34" spans="1:12" s="120" customFormat="1" ht="13.5" customHeight="1">
      <c r="A34" s="481"/>
      <c r="B34" s="482"/>
      <c r="C34" s="482"/>
      <c r="D34" s="482"/>
      <c r="E34" s="482"/>
      <c r="F34" s="482"/>
      <c r="G34" s="483"/>
      <c r="L34" s="121"/>
    </row>
    <row r="35" spans="1:12" s="120" customFormat="1" ht="13.5" customHeight="1">
      <c r="A35" s="481" t="s">
        <v>449</v>
      </c>
      <c r="B35" s="482"/>
      <c r="C35" s="482"/>
      <c r="D35" s="482"/>
      <c r="E35" s="482"/>
      <c r="F35" s="482"/>
      <c r="G35" s="483"/>
      <c r="L35" s="121"/>
    </row>
    <row r="36" spans="1:12" s="120" customFormat="1" ht="13.5" customHeight="1">
      <c r="A36" s="481" t="s">
        <v>450</v>
      </c>
      <c r="B36" s="482"/>
      <c r="C36" s="482"/>
      <c r="D36" s="482"/>
      <c r="E36" s="482"/>
      <c r="F36" s="482"/>
      <c r="G36" s="483"/>
      <c r="L36" s="121"/>
    </row>
    <row r="37" spans="1:12" s="121" customFormat="1" ht="13.5" customHeight="1">
      <c r="A37" s="481" t="s">
        <v>451</v>
      </c>
      <c r="B37" s="482"/>
      <c r="C37" s="482"/>
      <c r="D37" s="482"/>
      <c r="E37" s="482"/>
      <c r="F37" s="482"/>
      <c r="G37" s="483"/>
      <c r="H37" s="120"/>
      <c r="I37" s="120"/>
      <c r="J37" s="120"/>
      <c r="K37" s="120"/>
    </row>
    <row r="38" spans="1:12" s="174" customFormat="1" ht="13.5" customHeight="1">
      <c r="A38" s="481" t="s">
        <v>472</v>
      </c>
      <c r="B38" s="482"/>
      <c r="C38" s="482"/>
      <c r="D38" s="482"/>
      <c r="E38" s="482"/>
      <c r="F38" s="482"/>
      <c r="G38" s="483"/>
      <c r="L38" s="175"/>
    </row>
    <row r="39" spans="1:12" s="120" customFormat="1" ht="13.5" customHeight="1">
      <c r="A39" s="481"/>
      <c r="B39" s="482"/>
      <c r="C39" s="482"/>
      <c r="D39" s="482"/>
      <c r="E39" s="482"/>
      <c r="F39" s="482"/>
      <c r="G39" s="483"/>
      <c r="L39" s="121"/>
    </row>
    <row r="40" spans="1:12" s="120" customFormat="1" ht="13.5" customHeight="1">
      <c r="A40" s="481" t="s">
        <v>355</v>
      </c>
      <c r="B40" s="482"/>
      <c r="C40" s="482"/>
      <c r="D40" s="482"/>
      <c r="E40" s="482"/>
      <c r="F40" s="482"/>
      <c r="G40" s="483"/>
      <c r="L40" s="121"/>
    </row>
    <row r="41" spans="1:12" s="120" customFormat="1" ht="13.5" customHeight="1">
      <c r="A41" s="481" t="s">
        <v>354</v>
      </c>
      <c r="B41" s="482"/>
      <c r="C41" s="482"/>
      <c r="D41" s="482"/>
      <c r="E41" s="482"/>
      <c r="F41" s="482"/>
      <c r="G41" s="483"/>
      <c r="L41" s="121"/>
    </row>
    <row r="42" spans="1:12" s="120" customFormat="1" ht="13.5" customHeight="1">
      <c r="A42" s="481" t="s">
        <v>356</v>
      </c>
      <c r="B42" s="482"/>
      <c r="C42" s="482"/>
      <c r="D42" s="482"/>
      <c r="E42" s="482"/>
      <c r="F42" s="482"/>
      <c r="G42" s="483"/>
      <c r="L42" s="121"/>
    </row>
    <row r="43" spans="1:12" s="120" customFormat="1" ht="13.5" customHeight="1">
      <c r="A43" s="481" t="s">
        <v>358</v>
      </c>
      <c r="B43" s="482"/>
      <c r="C43" s="482"/>
      <c r="D43" s="482"/>
      <c r="E43" s="482"/>
      <c r="F43" s="482"/>
      <c r="G43" s="483"/>
      <c r="L43" s="121"/>
    </row>
    <row r="44" spans="1:12" s="174" customFormat="1" ht="13.5" customHeight="1">
      <c r="A44" s="481"/>
      <c r="B44" s="482"/>
      <c r="C44" s="482"/>
      <c r="D44" s="482"/>
      <c r="E44" s="482"/>
      <c r="F44" s="482"/>
      <c r="G44" s="483"/>
      <c r="L44" s="175"/>
    </row>
    <row r="45" spans="1:12" s="174" customFormat="1" ht="13.5" customHeight="1">
      <c r="A45" s="481"/>
      <c r="B45" s="482"/>
      <c r="C45" s="482"/>
      <c r="D45" s="482"/>
      <c r="E45" s="482"/>
      <c r="F45" s="482"/>
      <c r="G45" s="483"/>
      <c r="L45" s="175"/>
    </row>
    <row r="46" spans="1:12" s="120" customFormat="1" ht="13.5" customHeight="1">
      <c r="A46" s="481"/>
      <c r="B46" s="482"/>
      <c r="C46" s="482"/>
      <c r="D46" s="482"/>
      <c r="E46" s="482"/>
      <c r="F46" s="482"/>
      <c r="G46" s="483"/>
      <c r="L46" s="121"/>
    </row>
    <row r="47" spans="1:12" s="120" customFormat="1" ht="13.5" customHeight="1">
      <c r="A47" s="481"/>
      <c r="B47" s="482"/>
      <c r="C47" s="482"/>
      <c r="D47" s="482"/>
      <c r="E47" s="482"/>
      <c r="F47" s="482"/>
      <c r="G47" s="483"/>
      <c r="L47" s="121"/>
    </row>
    <row r="48" spans="1:12" s="120" customFormat="1" ht="13.5" customHeight="1">
      <c r="A48" s="481"/>
      <c r="B48" s="482"/>
      <c r="C48" s="482"/>
      <c r="D48" s="482"/>
      <c r="E48" s="482"/>
      <c r="F48" s="482"/>
      <c r="G48" s="483"/>
      <c r="L48" s="121"/>
    </row>
    <row r="49" spans="1:12" s="120" customFormat="1" ht="13.5" customHeight="1">
      <c r="A49" s="481"/>
      <c r="B49" s="482"/>
      <c r="C49" s="482"/>
      <c r="D49" s="482"/>
      <c r="E49" s="482"/>
      <c r="F49" s="482"/>
      <c r="G49" s="483"/>
      <c r="L49" s="121"/>
    </row>
    <row r="50" spans="1:12" s="120" customFormat="1" ht="13.5" customHeight="1">
      <c r="A50" s="481"/>
      <c r="B50" s="482"/>
      <c r="C50" s="482"/>
      <c r="D50" s="482"/>
      <c r="E50" s="482"/>
      <c r="F50" s="482"/>
      <c r="G50" s="483"/>
      <c r="L50" s="121"/>
    </row>
    <row r="51" spans="1:12" s="120" customFormat="1" ht="13.5" customHeight="1">
      <c r="A51" s="481"/>
      <c r="B51" s="482"/>
      <c r="C51" s="482"/>
      <c r="D51" s="482"/>
      <c r="E51" s="482"/>
      <c r="F51" s="482"/>
      <c r="G51" s="483"/>
      <c r="L51" s="121"/>
    </row>
    <row r="52" spans="1:12" s="120" customFormat="1" ht="13.5" customHeight="1">
      <c r="A52" s="481"/>
      <c r="B52" s="482"/>
      <c r="C52" s="482"/>
      <c r="D52" s="482"/>
      <c r="E52" s="482"/>
      <c r="F52" s="482"/>
      <c r="G52" s="483"/>
      <c r="L52" s="121"/>
    </row>
    <row r="53" spans="1:12" s="120" customFormat="1" ht="13.5" customHeight="1">
      <c r="A53" s="481"/>
      <c r="B53" s="482"/>
      <c r="C53" s="482"/>
      <c r="D53" s="482"/>
      <c r="E53" s="482"/>
      <c r="F53" s="482"/>
      <c r="G53" s="483"/>
      <c r="L53" s="121"/>
    </row>
    <row r="54" spans="1:12" s="1" customFormat="1" ht="21">
      <c r="A54" s="35" t="s">
        <v>32</v>
      </c>
      <c r="B54" s="58">
        <f>$B$1</f>
        <v>2</v>
      </c>
      <c r="C54" s="36" t="s">
        <v>40</v>
      </c>
      <c r="D54" s="37" t="str">
        <f>$E$1</f>
        <v>遭遇毎</v>
      </c>
      <c r="E54" s="537" t="str">
        <f>$B$2</f>
        <v>スペイシャル・トリップ</v>
      </c>
      <c r="F54" s="538"/>
      <c r="G54" s="539"/>
      <c r="L54"/>
    </row>
  </sheetData>
  <mergeCells count="57">
    <mergeCell ref="E54:G54"/>
    <mergeCell ref="A52:G52"/>
    <mergeCell ref="A53:G53"/>
    <mergeCell ref="B11:G11"/>
    <mergeCell ref="J11:K11"/>
    <mergeCell ref="B13:G13"/>
    <mergeCell ref="B14:G14"/>
    <mergeCell ref="B12:G12"/>
    <mergeCell ref="B17:G17"/>
    <mergeCell ref="B16:G16"/>
    <mergeCell ref="B15:G15"/>
    <mergeCell ref="A34:G34"/>
    <mergeCell ref="A35:G35"/>
    <mergeCell ref="A30:G30"/>
    <mergeCell ref="A26:G26"/>
    <mergeCell ref="A24:G24"/>
    <mergeCell ref="B1:C1"/>
    <mergeCell ref="F1:G1"/>
    <mergeCell ref="B2:G2"/>
    <mergeCell ref="B5:G5"/>
    <mergeCell ref="B6:D6"/>
    <mergeCell ref="B4:G4"/>
    <mergeCell ref="H4:L4"/>
    <mergeCell ref="B7:D7"/>
    <mergeCell ref="B8:G8"/>
    <mergeCell ref="B9:G9"/>
    <mergeCell ref="B10:G10"/>
    <mergeCell ref="J9:K9"/>
    <mergeCell ref="A25:G25"/>
    <mergeCell ref="A27:G27"/>
    <mergeCell ref="A28:G28"/>
    <mergeCell ref="A19:G19"/>
    <mergeCell ref="A22:G22"/>
    <mergeCell ref="A23:G23"/>
    <mergeCell ref="A20:G20"/>
    <mergeCell ref="A21:G21"/>
    <mergeCell ref="A51:G51"/>
    <mergeCell ref="B18:G18"/>
    <mergeCell ref="A42:G42"/>
    <mergeCell ref="A43:G43"/>
    <mergeCell ref="A36:G36"/>
    <mergeCell ref="A37:G37"/>
    <mergeCell ref="A48:G48"/>
    <mergeCell ref="A31:G31"/>
    <mergeCell ref="A32:G32"/>
    <mergeCell ref="A33:G33"/>
    <mergeCell ref="A40:G40"/>
    <mergeCell ref="A41:G41"/>
    <mergeCell ref="A38:G38"/>
    <mergeCell ref="A49:G49"/>
    <mergeCell ref="A50:G50"/>
    <mergeCell ref="A46:G46"/>
    <mergeCell ref="A44:G44"/>
    <mergeCell ref="A45:G45"/>
    <mergeCell ref="A39:G39"/>
    <mergeCell ref="A47:G47"/>
    <mergeCell ref="A29:G29"/>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Q54"/>
  <sheetViews>
    <sheetView zoomScaleNormal="100" workbookViewId="0">
      <selection activeCell="B2" sqref="B2:G2"/>
    </sheetView>
  </sheetViews>
  <sheetFormatPr defaultColWidth="9" defaultRowHeight="13.5"/>
  <cols>
    <col min="1" max="1" width="7.875" style="115" customWidth="1"/>
    <col min="2" max="2" width="8.5" style="115" customWidth="1"/>
    <col min="3" max="3" width="6.625" style="115" customWidth="1"/>
    <col min="4" max="4" width="15.75" style="115"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15" customWidth="1"/>
    <col min="13" max="13" width="9.25" style="115" customWidth="1"/>
    <col min="14" max="14" width="12.375" style="115" customWidth="1"/>
    <col min="15" max="16384" width="9" style="115"/>
  </cols>
  <sheetData>
    <row r="1" spans="1:17" ht="21">
      <c r="A1" s="38" t="s">
        <v>32</v>
      </c>
      <c r="B1" s="545">
        <v>6</v>
      </c>
      <c r="C1" s="546"/>
      <c r="D1" s="39" t="s">
        <v>40</v>
      </c>
      <c r="E1" s="40" t="s">
        <v>111</v>
      </c>
      <c r="F1" s="531"/>
      <c r="G1" s="532"/>
      <c r="H1" s="96" t="s">
        <v>55</v>
      </c>
    </row>
    <row r="2" spans="1:17" ht="24.75" customHeight="1">
      <c r="A2" s="39" t="s">
        <v>0</v>
      </c>
      <c r="B2" s="533" t="s">
        <v>557</v>
      </c>
      <c r="C2" s="533"/>
      <c r="D2" s="533"/>
      <c r="E2" s="533"/>
      <c r="F2" s="533"/>
      <c r="G2" s="533"/>
      <c r="H2" s="96" t="s">
        <v>56</v>
      </c>
    </row>
    <row r="3" spans="1:17" ht="19.5" customHeight="1">
      <c r="A3" s="102" t="s">
        <v>48</v>
      </c>
      <c r="B3" s="91"/>
      <c r="C3" s="91"/>
      <c r="D3" s="91"/>
      <c r="I3" s="96"/>
    </row>
    <row r="4" spans="1:17">
      <c r="A4" s="76" t="s">
        <v>46</v>
      </c>
      <c r="B4" s="439" t="s">
        <v>240</v>
      </c>
      <c r="C4" s="440"/>
      <c r="D4" s="440"/>
      <c r="E4" s="440"/>
      <c r="F4" s="440"/>
      <c r="G4" s="441"/>
      <c r="H4" s="381" t="s">
        <v>201</v>
      </c>
      <c r="I4" s="382"/>
      <c r="J4" s="382"/>
      <c r="K4" s="382"/>
      <c r="L4" s="383"/>
    </row>
    <row r="5" spans="1:17">
      <c r="A5" s="77" t="s">
        <v>39</v>
      </c>
      <c r="B5" s="439" t="s">
        <v>241</v>
      </c>
      <c r="C5" s="440"/>
      <c r="D5" s="440"/>
      <c r="E5" s="440"/>
      <c r="F5" s="440"/>
      <c r="G5" s="441"/>
      <c r="H5" s="113" t="s">
        <v>43</v>
      </c>
      <c r="I5" s="114" t="s">
        <v>88</v>
      </c>
      <c r="J5" s="114"/>
    </row>
    <row r="6" spans="1:17">
      <c r="A6" s="77" t="s">
        <v>7</v>
      </c>
      <c r="B6" s="615" t="s">
        <v>229</v>
      </c>
      <c r="C6" s="616"/>
      <c r="D6" s="617"/>
      <c r="E6" s="113" t="s">
        <v>43</v>
      </c>
      <c r="F6" s="112" t="str">
        <f>IF($I$5 = 0,"", $I$5)</f>
        <v>使用者</v>
      </c>
      <c r="G6" s="112" t="str">
        <f>IF($J$5 = 0,"", $J$5)</f>
        <v/>
      </c>
      <c r="H6" s="113" t="s">
        <v>66</v>
      </c>
      <c r="I6" s="114"/>
      <c r="J6" s="114"/>
    </row>
    <row r="7" spans="1:17">
      <c r="A7" s="78" t="s">
        <v>116</v>
      </c>
      <c r="B7" s="439"/>
      <c r="C7" s="440"/>
      <c r="D7" s="441"/>
      <c r="E7" s="113" t="s">
        <v>66</v>
      </c>
      <c r="F7" s="112" t="str">
        <f>IF($I$6 = 0,"", $I$6)</f>
        <v/>
      </c>
      <c r="G7" s="112" t="str">
        <f>IF($J$6 = 0,"", $J$6)</f>
        <v/>
      </c>
      <c r="H7" s="138" t="s">
        <v>85</v>
      </c>
      <c r="I7" s="114" t="s">
        <v>112</v>
      </c>
      <c r="J7" s="96" t="s">
        <v>62</v>
      </c>
      <c r="L7" s="191" t="s">
        <v>193</v>
      </c>
    </row>
    <row r="8" spans="1:17" ht="13.5" customHeight="1">
      <c r="A8" s="80" t="s">
        <v>242</v>
      </c>
      <c r="B8" s="444" t="s">
        <v>245</v>
      </c>
      <c r="C8" s="445"/>
      <c r="D8" s="445"/>
      <c r="E8" s="445"/>
      <c r="F8" s="445"/>
      <c r="G8" s="446"/>
      <c r="H8" s="138" t="s">
        <v>51</v>
      </c>
      <c r="I8" s="114" t="s">
        <v>17</v>
      </c>
      <c r="J8" s="112">
        <f>IF($I$8 = "筋力",基本!$C$5,IF($I$8 = "耐久力",基本!$C$6,IF($I$8 = "敏捷力",基本!$C$7,IF($I$8 = "知力",基本!$C$8,IF($I$8 = "判断力",基本!$C$9,IF($I$8 = "魅力",基本!$C$10,""))))))</f>
        <v>6</v>
      </c>
      <c r="K8" s="114" t="s">
        <v>90</v>
      </c>
      <c r="L8" s="192">
        <f>$J$8+$L$9+$I$9</f>
        <v>7</v>
      </c>
    </row>
    <row r="9" spans="1:17" ht="13.5" customHeight="1">
      <c r="A9" s="81"/>
      <c r="B9" s="630"/>
      <c r="C9" s="368"/>
      <c r="D9" s="368"/>
      <c r="E9" s="368"/>
      <c r="F9" s="368"/>
      <c r="G9" s="465"/>
      <c r="H9" s="138" t="s">
        <v>58</v>
      </c>
      <c r="I9" s="114">
        <v>1</v>
      </c>
      <c r="J9" s="381" t="s">
        <v>53</v>
      </c>
      <c r="K9" s="383"/>
      <c r="L9" s="112">
        <f>IF($I$7=基本!$F$4,基本!$O$7,IF($I$7=基本!$F$13,基本!$O$16,IF($I$7=基本!$F$22,基本!$O$25,IF($I$7=基本!$F$31,基本!$O$34,IF($I$7=基本!$F$40,基本!$O$43,0)))))</f>
        <v>0</v>
      </c>
    </row>
    <row r="10" spans="1:17" ht="13.5" customHeight="1">
      <c r="A10" s="80" t="s">
        <v>61</v>
      </c>
      <c r="B10" s="444" t="s">
        <v>243</v>
      </c>
      <c r="C10" s="445"/>
      <c r="D10" s="445"/>
      <c r="E10" s="445"/>
      <c r="F10" s="445"/>
      <c r="G10" s="446"/>
      <c r="H10" s="101" t="s">
        <v>52</v>
      </c>
      <c r="I10" s="114" t="s">
        <v>17</v>
      </c>
      <c r="J10" s="100">
        <f>IF($I$8 = "筋力",基本!$C$5,IF($I$10 = "耐久力",基本!$C$6,IF($I$10 = "敏捷力",基本!$C$7,IF($I$10 = "知力",基本!$C$8,IF($I$10 = "判断力",基本!$C$9,IF($I$10 = "魅力",基本!$C$10,""))))))</f>
        <v>6</v>
      </c>
      <c r="L10" s="91"/>
    </row>
    <row r="11" spans="1:17" ht="13.5" customHeight="1">
      <c r="A11" s="80"/>
      <c r="B11" s="630"/>
      <c r="C11" s="368"/>
      <c r="D11" s="368"/>
      <c r="E11" s="368"/>
      <c r="F11" s="368"/>
      <c r="G11" s="465"/>
      <c r="H11" s="113" t="s">
        <v>59</v>
      </c>
      <c r="I11" s="114">
        <v>0</v>
      </c>
      <c r="J11" s="381" t="s">
        <v>54</v>
      </c>
      <c r="K11" s="383"/>
      <c r="L11" s="112">
        <f>IF($I$7=基本!$F$4,基本!$O$9,IF($I$7=基本!$F$13,基本!$O$18,IF($I$7=基本!$F$22,基本!$O$27,IF($I$7=基本!$F$31,基本!$O$36,IF($I$7=基本!$F$40,基本!$O$45,0)))))</f>
        <v>0</v>
      </c>
    </row>
    <row r="12" spans="1:17">
      <c r="A12" s="80"/>
      <c r="B12" s="481" t="s">
        <v>244</v>
      </c>
      <c r="C12" s="482"/>
      <c r="D12" s="482"/>
      <c r="E12" s="482"/>
      <c r="F12" s="482"/>
      <c r="G12" s="483"/>
      <c r="H12" s="174"/>
      <c r="I12" s="174"/>
      <c r="J12" s="174"/>
      <c r="K12" s="174"/>
      <c r="L12" s="191" t="s">
        <v>193</v>
      </c>
      <c r="M12" s="173"/>
      <c r="N12" s="173"/>
      <c r="O12" s="173"/>
      <c r="P12" s="173"/>
      <c r="Q12" s="173"/>
    </row>
    <row r="13" spans="1:17" ht="13.5" customHeight="1">
      <c r="A13" s="80"/>
      <c r="B13" s="618"/>
      <c r="C13" s="619"/>
      <c r="D13" s="619"/>
      <c r="E13" s="619"/>
      <c r="F13" s="619"/>
      <c r="G13" s="620"/>
      <c r="H13" s="177" t="s">
        <v>86</v>
      </c>
      <c r="I13" s="114">
        <v>2</v>
      </c>
      <c r="J13" s="113" t="s">
        <v>44</v>
      </c>
      <c r="K13" s="114">
        <v>10</v>
      </c>
      <c r="L13" s="192">
        <f>$J$10+$L$11+$I$11</f>
        <v>6</v>
      </c>
    </row>
    <row r="14" spans="1:17" ht="28.5">
      <c r="A14" s="80"/>
      <c r="B14" s="627" t="str">
        <f>$L$15+3+2&amp; " マス瞬間移動"</f>
        <v>10 マス瞬間移動</v>
      </c>
      <c r="C14" s="628"/>
      <c r="D14" s="628"/>
      <c r="E14" s="628"/>
      <c r="F14" s="628"/>
      <c r="G14" s="629"/>
      <c r="H14" s="113" t="s">
        <v>50</v>
      </c>
      <c r="I14" s="32">
        <f>IF($I$7=基本!$F$4,基本!$L$11,IF($I$7=基本!$F$13,基本!$L$20,IF($I$7=基本!$F$22,基本!$L$29,IF($I$7=基本!$F$31,基本!$L$38,IF($I$7=基本!$F$40,基本!$L$47,0)))))</f>
        <v>0</v>
      </c>
      <c r="J14" s="177" t="s">
        <v>194</v>
      </c>
      <c r="K14" s="32">
        <f>IF($I$7=基本!$F$4,基本!$N$11,IF($I$7=基本!$F$13,基本!$N$20,IF($I$7=基本!$F$22,基本!$N$29,IF($I$7=基本!$F$31,基本!$N$38,IF($I$7=基本!$F$40,基本!$N$47,0)))))</f>
        <v>0</v>
      </c>
      <c r="L14" s="192">
        <f>$J$10+$L$11+$I$11+($I$13*$K$13)</f>
        <v>26</v>
      </c>
    </row>
    <row r="15" spans="1:17" ht="13.5" customHeight="1">
      <c r="A15" s="80"/>
      <c r="B15" s="618"/>
      <c r="C15" s="619"/>
      <c r="D15" s="619"/>
      <c r="E15" s="619"/>
      <c r="F15" s="619"/>
      <c r="G15" s="620"/>
      <c r="H15" s="113" t="s">
        <v>60</v>
      </c>
      <c r="I15" s="114"/>
      <c r="J15" s="177" t="s">
        <v>195</v>
      </c>
      <c r="K15" s="179" t="s">
        <v>14</v>
      </c>
      <c r="L15" s="176">
        <f>IF(K15="",0,VLOOKUP(K15,基本!$A$5:'基本'!$C$10,3,FALSE))</f>
        <v>5</v>
      </c>
    </row>
    <row r="16" spans="1:17" ht="13.5" customHeight="1">
      <c r="A16" s="80"/>
      <c r="B16" s="464"/>
      <c r="C16" s="368"/>
      <c r="D16" s="368"/>
      <c r="E16" s="368"/>
      <c r="F16" s="368"/>
      <c r="G16" s="465"/>
    </row>
    <row r="17" spans="1:12" ht="13.5" customHeight="1">
      <c r="A17" s="80"/>
      <c r="B17" s="464"/>
      <c r="C17" s="368"/>
      <c r="D17" s="368"/>
      <c r="E17" s="368"/>
      <c r="F17" s="368"/>
      <c r="G17" s="465"/>
      <c r="J17" s="115"/>
      <c r="K17" s="115"/>
    </row>
    <row r="18" spans="1:12" ht="13.5" customHeight="1">
      <c r="A18" s="81"/>
      <c r="B18" s="609"/>
      <c r="C18" s="610"/>
      <c r="D18" s="610"/>
      <c r="E18" s="610"/>
      <c r="F18" s="610"/>
      <c r="G18" s="611"/>
      <c r="J18" s="115"/>
      <c r="K18" s="115"/>
    </row>
    <row r="19" spans="1:12" s="173" customFormat="1" ht="18.75" customHeight="1">
      <c r="A19" s="362" t="s">
        <v>189</v>
      </c>
      <c r="B19" s="362"/>
      <c r="C19" s="362"/>
      <c r="D19" s="362"/>
      <c r="E19" s="362"/>
      <c r="F19" s="362"/>
      <c r="G19" s="362"/>
      <c r="H19" s="91"/>
    </row>
    <row r="20" spans="1:12" s="173" customFormat="1" ht="13.5" customHeight="1">
      <c r="A20" s="373" t="s">
        <v>188</v>
      </c>
      <c r="B20" s="373"/>
      <c r="C20" s="373"/>
      <c r="D20" s="373"/>
      <c r="E20" s="373"/>
      <c r="F20" s="373"/>
      <c r="G20" s="373"/>
      <c r="H20" s="91"/>
      <c r="I20" s="91"/>
      <c r="J20" s="91"/>
      <c r="K20" s="91"/>
    </row>
    <row r="21" spans="1:12" s="173" customFormat="1" ht="13.5" customHeight="1">
      <c r="A21" s="377" t="s">
        <v>190</v>
      </c>
      <c r="B21" s="377"/>
      <c r="C21" s="377"/>
      <c r="D21" s="377"/>
      <c r="E21" s="377"/>
      <c r="F21" s="377"/>
      <c r="G21" s="377"/>
      <c r="H21" s="91"/>
      <c r="I21" s="91"/>
      <c r="J21" s="91"/>
      <c r="K21" s="91"/>
    </row>
    <row r="22" spans="1:12">
      <c r="A22" s="610"/>
      <c r="B22" s="610"/>
      <c r="C22" s="610"/>
      <c r="D22" s="610"/>
      <c r="E22" s="610"/>
      <c r="F22" s="610"/>
      <c r="G22" s="610"/>
    </row>
    <row r="23" spans="1:12" ht="13.5" customHeight="1">
      <c r="A23" s="473" t="s">
        <v>49</v>
      </c>
      <c r="B23" s="474"/>
      <c r="C23" s="474"/>
      <c r="D23" s="474"/>
      <c r="E23" s="474"/>
      <c r="F23" s="474"/>
      <c r="G23" s="475"/>
    </row>
    <row r="24" spans="1:12" s="120" customFormat="1" ht="13.5" customHeight="1">
      <c r="A24" s="624"/>
      <c r="B24" s="625"/>
      <c r="C24" s="625"/>
      <c r="D24" s="625"/>
      <c r="E24" s="625"/>
      <c r="F24" s="625"/>
      <c r="G24" s="626"/>
      <c r="L24" s="121"/>
    </row>
    <row r="25" spans="1:12" s="173" customFormat="1" ht="24.75" customHeight="1">
      <c r="A25" s="580" t="s">
        <v>163</v>
      </c>
      <c r="B25" s="581"/>
      <c r="C25" s="581"/>
      <c r="D25" s="581"/>
      <c r="E25" s="581"/>
      <c r="F25" s="581"/>
      <c r="G25" s="582"/>
      <c r="H25" s="91"/>
      <c r="I25" s="91"/>
      <c r="J25" s="91"/>
      <c r="K25" s="91"/>
    </row>
    <row r="26" spans="1:12" s="120" customFormat="1" ht="13.5" customHeight="1">
      <c r="A26" s="481"/>
      <c r="B26" s="482"/>
      <c r="C26" s="482"/>
      <c r="D26" s="482"/>
      <c r="E26" s="482"/>
      <c r="F26" s="482"/>
      <c r="G26" s="483"/>
      <c r="L26" s="121"/>
    </row>
    <row r="27" spans="1:12" s="91" customFormat="1">
      <c r="A27" s="464" t="s">
        <v>165</v>
      </c>
      <c r="B27" s="368"/>
      <c r="C27" s="368"/>
      <c r="D27" s="368"/>
      <c r="E27" s="368"/>
      <c r="F27" s="368"/>
      <c r="G27" s="465"/>
      <c r="L27" s="173"/>
    </row>
    <row r="28" spans="1:12" s="173" customFormat="1">
      <c r="A28" s="464" t="s">
        <v>333</v>
      </c>
      <c r="B28" s="368"/>
      <c r="C28" s="368"/>
      <c r="D28" s="368"/>
      <c r="E28" s="368"/>
      <c r="F28" s="368"/>
      <c r="G28" s="465"/>
      <c r="H28" s="91"/>
      <c r="I28" s="91"/>
      <c r="J28" s="91"/>
      <c r="K28" s="91"/>
    </row>
    <row r="29" spans="1:12" s="120" customFormat="1" ht="13.5" customHeight="1">
      <c r="A29" s="481" t="s">
        <v>332</v>
      </c>
      <c r="B29" s="482"/>
      <c r="C29" s="482"/>
      <c r="D29" s="482"/>
      <c r="E29" s="482"/>
      <c r="F29" s="482"/>
      <c r="G29" s="483"/>
      <c r="L29" s="121"/>
    </row>
    <row r="30" spans="1:12" s="120" customFormat="1" ht="13.5" customHeight="1">
      <c r="A30" s="481"/>
      <c r="B30" s="482"/>
      <c r="C30" s="482"/>
      <c r="D30" s="482"/>
      <c r="E30" s="482"/>
      <c r="F30" s="482"/>
      <c r="G30" s="483"/>
      <c r="L30" s="121"/>
    </row>
    <row r="31" spans="1:12" s="121" customFormat="1" ht="13.5" customHeight="1">
      <c r="A31" s="481" t="s">
        <v>334</v>
      </c>
      <c r="B31" s="482"/>
      <c r="C31" s="482"/>
      <c r="D31" s="482"/>
      <c r="E31" s="482"/>
      <c r="F31" s="482"/>
      <c r="G31" s="483"/>
      <c r="H31" s="120"/>
      <c r="I31" s="120"/>
      <c r="J31" s="120"/>
      <c r="K31" s="120"/>
    </row>
    <row r="32" spans="1:12" s="120" customFormat="1" ht="13.5" customHeight="1">
      <c r="A32" s="481" t="s">
        <v>335</v>
      </c>
      <c r="B32" s="482"/>
      <c r="C32" s="482"/>
      <c r="D32" s="482"/>
      <c r="E32" s="482"/>
      <c r="F32" s="482"/>
      <c r="G32" s="483"/>
      <c r="L32" s="121"/>
    </row>
    <row r="33" spans="1:12" s="121" customFormat="1" ht="13.5" customHeight="1">
      <c r="A33" s="481" t="s">
        <v>337</v>
      </c>
      <c r="B33" s="482"/>
      <c r="C33" s="482"/>
      <c r="D33" s="482"/>
      <c r="E33" s="482"/>
      <c r="F33" s="482"/>
      <c r="G33" s="483"/>
      <c r="H33" s="120"/>
      <c r="I33" s="120"/>
      <c r="J33" s="120"/>
      <c r="K33" s="120"/>
    </row>
    <row r="34" spans="1:12" s="120" customFormat="1" ht="13.5" customHeight="1">
      <c r="A34" s="481" t="s">
        <v>336</v>
      </c>
      <c r="B34" s="482"/>
      <c r="C34" s="482"/>
      <c r="D34" s="482"/>
      <c r="E34" s="482"/>
      <c r="F34" s="482"/>
      <c r="G34" s="483"/>
      <c r="L34" s="121"/>
    </row>
    <row r="35" spans="1:12" s="120" customFormat="1" ht="13.5" customHeight="1">
      <c r="A35" s="481" t="s">
        <v>339</v>
      </c>
      <c r="B35" s="482"/>
      <c r="C35" s="482"/>
      <c r="D35" s="482"/>
      <c r="E35" s="482"/>
      <c r="F35" s="482"/>
      <c r="G35" s="483"/>
      <c r="L35" s="121"/>
    </row>
    <row r="36" spans="1:12" s="120" customFormat="1" ht="13.5" customHeight="1">
      <c r="A36" s="481" t="s">
        <v>338</v>
      </c>
      <c r="B36" s="482"/>
      <c r="C36" s="482"/>
      <c r="D36" s="482"/>
      <c r="E36" s="482"/>
      <c r="F36" s="482"/>
      <c r="G36" s="483"/>
      <c r="L36" s="121"/>
    </row>
    <row r="37" spans="1:12" s="120" customFormat="1" ht="13.5" customHeight="1">
      <c r="A37" s="481" t="s">
        <v>341</v>
      </c>
      <c r="B37" s="482"/>
      <c r="C37" s="482"/>
      <c r="D37" s="482"/>
      <c r="E37" s="482"/>
      <c r="F37" s="482"/>
      <c r="G37" s="483"/>
      <c r="L37" s="121"/>
    </row>
    <row r="38" spans="1:12" s="120" customFormat="1" ht="13.5" customHeight="1">
      <c r="A38" s="481" t="s">
        <v>340</v>
      </c>
      <c r="B38" s="482"/>
      <c r="C38" s="482"/>
      <c r="D38" s="482"/>
      <c r="E38" s="482"/>
      <c r="F38" s="482"/>
      <c r="G38" s="483"/>
      <c r="L38" s="121"/>
    </row>
    <row r="39" spans="1:12" s="174" customFormat="1" ht="13.5" customHeight="1">
      <c r="A39" s="481" t="s">
        <v>344</v>
      </c>
      <c r="B39" s="482"/>
      <c r="C39" s="482"/>
      <c r="D39" s="482"/>
      <c r="E39" s="482"/>
      <c r="F39" s="482"/>
      <c r="G39" s="483"/>
      <c r="L39" s="175"/>
    </row>
    <row r="40" spans="1:12" s="120" customFormat="1" ht="13.5" customHeight="1">
      <c r="A40" s="481"/>
      <c r="B40" s="482"/>
      <c r="C40" s="482"/>
      <c r="D40" s="482"/>
      <c r="E40" s="482"/>
      <c r="F40" s="482"/>
      <c r="G40" s="483"/>
      <c r="L40" s="121"/>
    </row>
    <row r="41" spans="1:12" s="120" customFormat="1" ht="13.5" customHeight="1">
      <c r="A41" s="481" t="s">
        <v>343</v>
      </c>
      <c r="B41" s="482"/>
      <c r="C41" s="482"/>
      <c r="D41" s="482"/>
      <c r="E41" s="482"/>
      <c r="F41" s="482"/>
      <c r="G41" s="483"/>
      <c r="L41" s="121"/>
    </row>
    <row r="42" spans="1:12" s="174" customFormat="1" ht="13.5" customHeight="1">
      <c r="A42" s="481" t="s">
        <v>342</v>
      </c>
      <c r="B42" s="482"/>
      <c r="C42" s="482"/>
      <c r="D42" s="482"/>
      <c r="E42" s="482"/>
      <c r="F42" s="482"/>
      <c r="G42" s="483"/>
      <c r="L42" s="175"/>
    </row>
    <row r="43" spans="1:12" s="120" customFormat="1" ht="13.5" customHeight="1">
      <c r="A43" s="481" t="s">
        <v>376</v>
      </c>
      <c r="B43" s="482"/>
      <c r="C43" s="482"/>
      <c r="D43" s="482"/>
      <c r="E43" s="482"/>
      <c r="F43" s="482"/>
      <c r="G43" s="483"/>
      <c r="L43" s="121"/>
    </row>
    <row r="44" spans="1:12" s="120" customFormat="1" ht="13.5" customHeight="1">
      <c r="A44" s="481" t="s">
        <v>345</v>
      </c>
      <c r="B44" s="482"/>
      <c r="C44" s="482"/>
      <c r="D44" s="482"/>
      <c r="E44" s="482"/>
      <c r="F44" s="482"/>
      <c r="G44" s="483"/>
      <c r="L44" s="121"/>
    </row>
    <row r="45" spans="1:12" s="120" customFormat="1" ht="13.5" customHeight="1">
      <c r="A45" s="481" t="s">
        <v>346</v>
      </c>
      <c r="B45" s="482"/>
      <c r="C45" s="482"/>
      <c r="D45" s="482"/>
      <c r="E45" s="482"/>
      <c r="F45" s="482"/>
      <c r="G45" s="483"/>
      <c r="L45" s="121"/>
    </row>
    <row r="46" spans="1:12" s="120" customFormat="1" ht="13.5" customHeight="1">
      <c r="A46" s="481" t="s">
        <v>347</v>
      </c>
      <c r="B46" s="482"/>
      <c r="C46" s="482"/>
      <c r="D46" s="482"/>
      <c r="E46" s="482"/>
      <c r="F46" s="482"/>
      <c r="G46" s="483"/>
      <c r="L46" s="121"/>
    </row>
    <row r="47" spans="1:12" s="120" customFormat="1" ht="13.5" customHeight="1">
      <c r="A47" s="481" t="s">
        <v>348</v>
      </c>
      <c r="B47" s="482"/>
      <c r="C47" s="482"/>
      <c r="D47" s="482"/>
      <c r="E47" s="482"/>
      <c r="F47" s="482"/>
      <c r="G47" s="483"/>
      <c r="L47" s="121"/>
    </row>
    <row r="48" spans="1:12" s="120" customFormat="1" ht="13.5" customHeight="1">
      <c r="A48" s="481"/>
      <c r="B48" s="482"/>
      <c r="C48" s="482"/>
      <c r="D48" s="482"/>
      <c r="E48" s="482"/>
      <c r="F48" s="482"/>
      <c r="G48" s="483"/>
      <c r="L48" s="121"/>
    </row>
    <row r="49" spans="1:12" s="120" customFormat="1" ht="13.5" customHeight="1">
      <c r="A49" s="481"/>
      <c r="B49" s="482"/>
      <c r="C49" s="482"/>
      <c r="D49" s="482"/>
      <c r="E49" s="482"/>
      <c r="F49" s="482"/>
      <c r="G49" s="483"/>
      <c r="L49" s="121"/>
    </row>
    <row r="50" spans="1:12" s="120" customFormat="1" ht="13.5" customHeight="1">
      <c r="A50" s="481"/>
      <c r="B50" s="482"/>
      <c r="C50" s="482"/>
      <c r="D50" s="482"/>
      <c r="E50" s="482"/>
      <c r="F50" s="482"/>
      <c r="G50" s="483"/>
      <c r="L50" s="121"/>
    </row>
    <row r="51" spans="1:12" s="120" customFormat="1" ht="13.5" customHeight="1">
      <c r="A51" s="481"/>
      <c r="B51" s="482"/>
      <c r="C51" s="482"/>
      <c r="D51" s="482"/>
      <c r="E51" s="482"/>
      <c r="F51" s="482"/>
      <c r="G51" s="483"/>
      <c r="L51" s="121"/>
    </row>
    <row r="52" spans="1:12" s="120" customFormat="1" ht="13.5" customHeight="1">
      <c r="A52" s="481"/>
      <c r="B52" s="482"/>
      <c r="C52" s="482"/>
      <c r="D52" s="482"/>
      <c r="E52" s="482"/>
      <c r="F52" s="482"/>
      <c r="G52" s="483"/>
      <c r="L52" s="121"/>
    </row>
    <row r="53" spans="1:12" s="120" customFormat="1" ht="13.5" customHeight="1">
      <c r="A53" s="481"/>
      <c r="B53" s="482"/>
      <c r="C53" s="482"/>
      <c r="D53" s="482"/>
      <c r="E53" s="482"/>
      <c r="F53" s="482"/>
      <c r="G53" s="483"/>
      <c r="L53" s="121"/>
    </row>
    <row r="54" spans="1:12" s="91" customFormat="1" ht="21">
      <c r="A54" s="35" t="s">
        <v>32</v>
      </c>
      <c r="B54" s="185">
        <f>$B$1</f>
        <v>6</v>
      </c>
      <c r="C54" s="36" t="s">
        <v>40</v>
      </c>
      <c r="D54" s="37" t="str">
        <f>$E$1</f>
        <v>遭遇毎</v>
      </c>
      <c r="E54" s="537" t="str">
        <f>$B$2</f>
        <v>スウィフト・エスケープ</v>
      </c>
      <c r="F54" s="538"/>
      <c r="G54" s="539"/>
      <c r="L54" s="115"/>
    </row>
  </sheetData>
  <mergeCells count="57">
    <mergeCell ref="J9:K9"/>
    <mergeCell ref="B11:G11"/>
    <mergeCell ref="B1:C1"/>
    <mergeCell ref="F1:G1"/>
    <mergeCell ref="B2:G2"/>
    <mergeCell ref="B4:G4"/>
    <mergeCell ref="B5:G5"/>
    <mergeCell ref="B6:D6"/>
    <mergeCell ref="B7:D7"/>
    <mergeCell ref="B8:G8"/>
    <mergeCell ref="B9:G9"/>
    <mergeCell ref="B10:G10"/>
    <mergeCell ref="H4:L4"/>
    <mergeCell ref="J11:K11"/>
    <mergeCell ref="A30:G30"/>
    <mergeCell ref="A26:G26"/>
    <mergeCell ref="A31:G31"/>
    <mergeCell ref="B16:G16"/>
    <mergeCell ref="B18:G18"/>
    <mergeCell ref="A22:G22"/>
    <mergeCell ref="A23:G23"/>
    <mergeCell ref="A24:G24"/>
    <mergeCell ref="A29:G29"/>
    <mergeCell ref="A19:G19"/>
    <mergeCell ref="A20:G20"/>
    <mergeCell ref="A21:G21"/>
    <mergeCell ref="A25:G25"/>
    <mergeCell ref="A27:G27"/>
    <mergeCell ref="A28:G28"/>
    <mergeCell ref="B13:G13"/>
    <mergeCell ref="B14:G14"/>
    <mergeCell ref="B17:G17"/>
    <mergeCell ref="B12:G12"/>
    <mergeCell ref="B15:G15"/>
    <mergeCell ref="A45:G45"/>
    <mergeCell ref="A32:G32"/>
    <mergeCell ref="A33:G33"/>
    <mergeCell ref="A34:G34"/>
    <mergeCell ref="A35:G35"/>
    <mergeCell ref="A36:G36"/>
    <mergeCell ref="A37:G37"/>
    <mergeCell ref="A38:G38"/>
    <mergeCell ref="A40:G40"/>
    <mergeCell ref="A41:G41"/>
    <mergeCell ref="A43:G43"/>
    <mergeCell ref="A44:G44"/>
    <mergeCell ref="A39:G39"/>
    <mergeCell ref="A42:G42"/>
    <mergeCell ref="A51:G51"/>
    <mergeCell ref="A52:G52"/>
    <mergeCell ref="E54:G54"/>
    <mergeCell ref="A53:G53"/>
    <mergeCell ref="A46:G46"/>
    <mergeCell ref="A47:G47"/>
    <mergeCell ref="A48:G48"/>
    <mergeCell ref="A49:G49"/>
    <mergeCell ref="A50:G50"/>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Q56"/>
  <sheetViews>
    <sheetView zoomScaleNormal="100" workbookViewId="0">
      <selection activeCell="B2" sqref="B2:G2"/>
    </sheetView>
  </sheetViews>
  <sheetFormatPr defaultColWidth="9" defaultRowHeight="13.5"/>
  <cols>
    <col min="1" max="1" width="7.875" style="143" customWidth="1"/>
    <col min="2" max="2" width="8.5" style="143" customWidth="1"/>
    <col min="3" max="3" width="6.625" style="143" customWidth="1"/>
    <col min="4" max="4" width="15.75" style="14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43" customWidth="1"/>
    <col min="13" max="13" width="9.25" style="143" customWidth="1"/>
    <col min="14" max="14" width="12.375" style="143" customWidth="1"/>
    <col min="15" max="16384" width="9" style="143"/>
  </cols>
  <sheetData>
    <row r="1" spans="1:17" ht="21">
      <c r="A1" s="38" t="s">
        <v>32</v>
      </c>
      <c r="B1" s="545">
        <v>10</v>
      </c>
      <c r="C1" s="546"/>
      <c r="D1" s="39" t="s">
        <v>40</v>
      </c>
      <c r="E1" s="40" t="s">
        <v>57</v>
      </c>
      <c r="F1" s="531"/>
      <c r="G1" s="532"/>
      <c r="H1" s="96" t="s">
        <v>55</v>
      </c>
    </row>
    <row r="2" spans="1:17" ht="24.75" customHeight="1">
      <c r="A2" s="39" t="s">
        <v>0</v>
      </c>
      <c r="B2" s="533" t="s">
        <v>491</v>
      </c>
      <c r="C2" s="533"/>
      <c r="D2" s="533"/>
      <c r="E2" s="533"/>
      <c r="F2" s="533"/>
      <c r="G2" s="533"/>
      <c r="H2" s="96" t="s">
        <v>56</v>
      </c>
    </row>
    <row r="3" spans="1:17" ht="19.5" customHeight="1">
      <c r="A3" s="102" t="s">
        <v>48</v>
      </c>
      <c r="B3" s="91"/>
      <c r="C3" s="91"/>
      <c r="D3" s="91"/>
      <c r="I3" s="96"/>
    </row>
    <row r="4" spans="1:17">
      <c r="A4" s="76" t="s">
        <v>46</v>
      </c>
      <c r="B4" s="439" t="s">
        <v>455</v>
      </c>
      <c r="C4" s="440"/>
      <c r="D4" s="440"/>
      <c r="E4" s="440"/>
      <c r="F4" s="440"/>
      <c r="G4" s="441"/>
      <c r="H4" s="381" t="s">
        <v>201</v>
      </c>
      <c r="I4" s="382"/>
      <c r="J4" s="382"/>
      <c r="K4" s="382"/>
      <c r="L4" s="383"/>
    </row>
    <row r="5" spans="1:17">
      <c r="A5" s="77" t="s">
        <v>39</v>
      </c>
      <c r="B5" s="439" t="s">
        <v>454</v>
      </c>
      <c r="C5" s="440"/>
      <c r="D5" s="440"/>
      <c r="E5" s="440"/>
      <c r="F5" s="440"/>
      <c r="G5" s="441"/>
      <c r="H5" s="169" t="s">
        <v>43</v>
      </c>
      <c r="I5" s="170" t="s">
        <v>88</v>
      </c>
      <c r="J5" s="170"/>
    </row>
    <row r="6" spans="1:17">
      <c r="A6" s="77" t="s">
        <v>7</v>
      </c>
      <c r="B6" s="615" t="s">
        <v>229</v>
      </c>
      <c r="C6" s="616"/>
      <c r="D6" s="617"/>
      <c r="E6" s="311" t="s">
        <v>43</v>
      </c>
      <c r="F6" s="312" t="str">
        <f>IF($I$5 = 0,"", $I$5)</f>
        <v>使用者</v>
      </c>
      <c r="G6" s="312" t="str">
        <f>IF($J$5 = 0,"", $J$5)</f>
        <v/>
      </c>
      <c r="H6" s="169" t="s">
        <v>66</v>
      </c>
      <c r="I6" s="170"/>
      <c r="J6" s="170"/>
    </row>
    <row r="7" spans="1:17">
      <c r="A7" s="78" t="s">
        <v>6</v>
      </c>
      <c r="B7" s="439"/>
      <c r="C7" s="440"/>
      <c r="D7" s="441"/>
      <c r="E7" s="311" t="s">
        <v>66</v>
      </c>
      <c r="F7" s="312" t="str">
        <f>IF($I$6 = 0,"", $I$6)</f>
        <v/>
      </c>
      <c r="G7" s="312" t="str">
        <f>IF($J$6 = 0,"", $J$6)</f>
        <v/>
      </c>
      <c r="H7" s="169" t="s">
        <v>85</v>
      </c>
      <c r="I7" s="170" t="s">
        <v>112</v>
      </c>
      <c r="J7" s="96" t="s">
        <v>62</v>
      </c>
      <c r="L7" s="191" t="s">
        <v>193</v>
      </c>
    </row>
    <row r="8" spans="1:17" ht="13.5" customHeight="1">
      <c r="A8" s="79" t="s">
        <v>126</v>
      </c>
      <c r="B8" s="444" t="s">
        <v>456</v>
      </c>
      <c r="C8" s="445"/>
      <c r="D8" s="445"/>
      <c r="E8" s="445"/>
      <c r="F8" s="445"/>
      <c r="G8" s="446"/>
      <c r="H8" s="169" t="s">
        <v>51</v>
      </c>
      <c r="I8" s="170" t="s">
        <v>17</v>
      </c>
      <c r="J8" s="168">
        <f>IF($I$8 = "筋力",基本!$C$5,IF($I$8 = "耐久力",基本!$C$6,IF($I$8 = "敏捷力",基本!$C$7,IF($I$8 = "知力",基本!$C$8,IF($I$8 = "判断力",基本!$C$9,IF($I$8 = "魅力",基本!$C$10,""))))))</f>
        <v>6</v>
      </c>
      <c r="K8" s="170" t="s">
        <v>90</v>
      </c>
      <c r="L8" s="192">
        <f>$J$8+$L$9+$I$9</f>
        <v>7</v>
      </c>
    </row>
    <row r="9" spans="1:17" ht="13.5" customHeight="1">
      <c r="A9" s="81"/>
      <c r="B9" s="502"/>
      <c r="C9" s="503"/>
      <c r="D9" s="503"/>
      <c r="E9" s="503"/>
      <c r="F9" s="503"/>
      <c r="G9" s="504"/>
      <c r="H9" s="169" t="s">
        <v>58</v>
      </c>
      <c r="I9" s="170">
        <v>1</v>
      </c>
      <c r="J9" s="381" t="s">
        <v>53</v>
      </c>
      <c r="K9" s="383"/>
      <c r="L9" s="168">
        <f>IF($I$7=基本!$F$4,基本!$O$7,IF($I$7=基本!$F$13,基本!$O$16,IF($I$7=基本!$F$22,基本!$O$25,IF($I$7=基本!$F$31,基本!$O$34,IF($I$7=基本!$F$40,基本!$O$43,0)))))</f>
        <v>0</v>
      </c>
    </row>
    <row r="10" spans="1:17" ht="13.5" customHeight="1">
      <c r="A10" s="79" t="s">
        <v>61</v>
      </c>
      <c r="B10" s="444" t="s">
        <v>457</v>
      </c>
      <c r="C10" s="445"/>
      <c r="D10" s="445"/>
      <c r="E10" s="445"/>
      <c r="F10" s="445"/>
      <c r="G10" s="446"/>
      <c r="H10" s="171" t="s">
        <v>52</v>
      </c>
      <c r="I10" s="170" t="s">
        <v>14</v>
      </c>
      <c r="J10" s="100">
        <f>IF($I$8 = "筋力",基本!$C$5,IF($I$10 = "耐久力",基本!$C$6,IF($I$10 = "敏捷力",基本!$C$7,IF($I$10 = "知力",基本!$C$8,IF($I$10 = "判断力",基本!$C$9,IF($I$10 = "魅力",基本!$C$10,""))))))</f>
        <v>5</v>
      </c>
      <c r="L10" s="91"/>
    </row>
    <row r="11" spans="1:17" ht="13.5" customHeight="1">
      <c r="A11" s="80"/>
      <c r="B11" s="464"/>
      <c r="C11" s="368"/>
      <c r="D11" s="368"/>
      <c r="E11" s="368"/>
      <c r="F11" s="368"/>
      <c r="G11" s="465"/>
      <c r="H11" s="169" t="s">
        <v>59</v>
      </c>
      <c r="I11" s="170">
        <v>0</v>
      </c>
      <c r="J11" s="381" t="s">
        <v>54</v>
      </c>
      <c r="K11" s="383"/>
      <c r="L11" s="168">
        <f>IF($I$7=基本!$F$4,基本!$O$9,IF($I$7=基本!$F$13,基本!$O$18,IF($I$7=基本!$F$22,基本!$O$27,IF($I$7=基本!$F$31,基本!$O$36,IF($I$7=基本!$F$40,基本!$O$45,0)))))</f>
        <v>0</v>
      </c>
    </row>
    <row r="12" spans="1:17" ht="13.5" customHeight="1">
      <c r="A12" s="80"/>
      <c r="B12" s="621"/>
      <c r="C12" s="622"/>
      <c r="D12" s="622"/>
      <c r="E12" s="622"/>
      <c r="F12" s="622"/>
      <c r="G12" s="623"/>
      <c r="L12" s="191" t="s">
        <v>193</v>
      </c>
      <c r="M12" s="173"/>
      <c r="N12" s="173"/>
      <c r="O12" s="173"/>
      <c r="P12" s="173"/>
      <c r="Q12" s="173"/>
    </row>
    <row r="13" spans="1:17">
      <c r="A13" s="80"/>
      <c r="B13" s="481"/>
      <c r="C13" s="482"/>
      <c r="D13" s="482"/>
      <c r="E13" s="482"/>
      <c r="F13" s="482"/>
      <c r="G13" s="483"/>
      <c r="H13" s="177" t="s">
        <v>86</v>
      </c>
      <c r="I13" s="170">
        <v>1</v>
      </c>
      <c r="J13" s="169" t="s">
        <v>44</v>
      </c>
      <c r="K13" s="170">
        <v>10</v>
      </c>
      <c r="L13" s="192">
        <f>$J$10+$L$11+$I$11</f>
        <v>5</v>
      </c>
    </row>
    <row r="14" spans="1:17" ht="13.5" customHeight="1">
      <c r="A14" s="80"/>
      <c r="B14" s="464"/>
      <c r="C14" s="368"/>
      <c r="D14" s="368"/>
      <c r="E14" s="368"/>
      <c r="F14" s="368"/>
      <c r="G14" s="465"/>
      <c r="H14" s="169" t="s">
        <v>50</v>
      </c>
      <c r="I14" s="32">
        <f>IF($I$7=基本!$F$4,基本!$L$11,IF($I$7=基本!$F$13,基本!$L$20,IF($I$7=基本!$F$22,基本!$L$29,IF($I$7=基本!$F$31,基本!$L$38,IF($I$7=基本!$F$40,基本!$L$47,0)))))</f>
        <v>0</v>
      </c>
      <c r="J14" s="177" t="s">
        <v>194</v>
      </c>
      <c r="K14" s="32">
        <f>IF($I$7=基本!$F$4,基本!$N$11,IF($I$7=基本!$F$13,基本!$N$20,IF($I$7=基本!$F$22,基本!$N$29,IF($I$7=基本!$F$31,基本!$N$38,IF($I$7=基本!$F$40,基本!$N$47,0)))))</f>
        <v>0</v>
      </c>
      <c r="L14" s="192">
        <f>$J$10+$L$11+$I$11+($I$13*$K$13)</f>
        <v>15</v>
      </c>
    </row>
    <row r="15" spans="1:17" ht="13.5" customHeight="1">
      <c r="A15" s="80"/>
      <c r="B15" s="464"/>
      <c r="C15" s="368"/>
      <c r="D15" s="368"/>
      <c r="E15" s="368"/>
      <c r="F15" s="368"/>
      <c r="G15" s="465"/>
      <c r="H15" s="169" t="s">
        <v>60</v>
      </c>
      <c r="I15" s="170"/>
      <c r="J15" s="177" t="s">
        <v>195</v>
      </c>
      <c r="K15" s="179" t="s">
        <v>17</v>
      </c>
      <c r="L15" s="176">
        <f>IF(K15="",0,VLOOKUP(K15,基本!$A$5:'基本'!$C$10,3,FALSE))</f>
        <v>6</v>
      </c>
    </row>
    <row r="16" spans="1:17" ht="13.5" customHeight="1">
      <c r="A16" s="80"/>
      <c r="B16" s="464"/>
      <c r="C16" s="368"/>
      <c r="D16" s="368"/>
      <c r="E16" s="368"/>
      <c r="F16" s="368"/>
      <c r="G16" s="465"/>
    </row>
    <row r="17" spans="1:12" ht="13.5" customHeight="1">
      <c r="A17" s="80"/>
      <c r="B17" s="464"/>
      <c r="C17" s="368"/>
      <c r="D17" s="368"/>
      <c r="E17" s="368"/>
      <c r="F17" s="368"/>
      <c r="G17" s="465"/>
      <c r="J17" s="143"/>
      <c r="K17" s="143"/>
    </row>
    <row r="18" spans="1:12" ht="13.5" customHeight="1">
      <c r="A18" s="81"/>
      <c r="B18" s="609"/>
      <c r="C18" s="610"/>
      <c r="D18" s="610"/>
      <c r="E18" s="610"/>
      <c r="F18" s="610"/>
      <c r="G18" s="611"/>
      <c r="J18" s="143"/>
      <c r="K18" s="143"/>
    </row>
    <row r="19" spans="1:12" ht="5.25" customHeight="1">
      <c r="A19" s="368"/>
      <c r="B19" s="368"/>
      <c r="C19" s="368"/>
      <c r="D19" s="368"/>
      <c r="E19" s="368"/>
      <c r="F19" s="368"/>
      <c r="G19" s="368"/>
    </row>
    <row r="20" spans="1:12" ht="4.5" customHeight="1">
      <c r="A20" s="610"/>
      <c r="B20" s="610"/>
      <c r="C20" s="610"/>
      <c r="D20" s="610"/>
      <c r="E20" s="610"/>
      <c r="F20" s="610"/>
      <c r="G20" s="610"/>
    </row>
    <row r="21" spans="1:12" ht="13.5" customHeight="1">
      <c r="A21" s="473" t="s">
        <v>49</v>
      </c>
      <c r="B21" s="474"/>
      <c r="C21" s="474"/>
      <c r="D21" s="474"/>
      <c r="E21" s="474"/>
      <c r="F21" s="474"/>
      <c r="G21" s="475"/>
    </row>
    <row r="22" spans="1:12" s="174" customFormat="1" ht="13.5" customHeight="1">
      <c r="A22" s="481"/>
      <c r="B22" s="482"/>
      <c r="C22" s="482"/>
      <c r="D22" s="482"/>
      <c r="E22" s="482"/>
      <c r="F22" s="482"/>
      <c r="G22" s="483"/>
      <c r="L22" s="175"/>
    </row>
    <row r="23" spans="1:12" s="174" customFormat="1" ht="13.5" customHeight="1">
      <c r="A23" s="464" t="s">
        <v>165</v>
      </c>
      <c r="B23" s="368"/>
      <c r="C23" s="368"/>
      <c r="D23" s="368"/>
      <c r="E23" s="368"/>
      <c r="F23" s="368"/>
      <c r="G23" s="465"/>
      <c r="H23" s="198"/>
      <c r="I23" s="198"/>
      <c r="J23" s="198"/>
      <c r="K23" s="198"/>
      <c r="L23" s="198"/>
    </row>
    <row r="24" spans="1:12" s="174" customFormat="1" ht="13.5" customHeight="1">
      <c r="A24" s="464" t="s">
        <v>474</v>
      </c>
      <c r="B24" s="368"/>
      <c r="C24" s="368"/>
      <c r="D24" s="368"/>
      <c r="E24" s="368"/>
      <c r="F24" s="368"/>
      <c r="G24" s="465"/>
      <c r="H24" s="198"/>
      <c r="I24" s="198"/>
      <c r="J24" s="198"/>
      <c r="K24" s="198"/>
      <c r="L24" s="198"/>
    </row>
    <row r="25" spans="1:12" s="174" customFormat="1" ht="13.5" customHeight="1">
      <c r="A25" s="481" t="s">
        <v>475</v>
      </c>
      <c r="B25" s="482"/>
      <c r="C25" s="482"/>
      <c r="D25" s="482"/>
      <c r="E25" s="482"/>
      <c r="F25" s="482"/>
      <c r="G25" s="483"/>
      <c r="L25" s="175"/>
    </row>
    <row r="26" spans="1:12" s="175" customFormat="1" ht="13.5" customHeight="1">
      <c r="A26" s="606"/>
      <c r="B26" s="607"/>
      <c r="C26" s="607"/>
      <c r="D26" s="607"/>
      <c r="E26" s="607"/>
      <c r="F26" s="607"/>
      <c r="G26" s="608"/>
      <c r="H26" s="174"/>
      <c r="I26" s="174"/>
      <c r="J26" s="174"/>
      <c r="K26" s="174"/>
    </row>
    <row r="27" spans="1:12" s="174" customFormat="1" ht="13.5" customHeight="1">
      <c r="A27" s="606" t="s">
        <v>476</v>
      </c>
      <c r="B27" s="607"/>
      <c r="C27" s="607"/>
      <c r="D27" s="607"/>
      <c r="E27" s="607"/>
      <c r="F27" s="607"/>
      <c r="G27" s="608"/>
      <c r="L27" s="175"/>
    </row>
    <row r="28" spans="1:12" s="174" customFormat="1" ht="13.5" customHeight="1">
      <c r="A28" s="606" t="s">
        <v>477</v>
      </c>
      <c r="B28" s="607"/>
      <c r="C28" s="607"/>
      <c r="D28" s="607"/>
      <c r="E28" s="607"/>
      <c r="F28" s="607"/>
      <c r="G28" s="608"/>
      <c r="L28" s="175"/>
    </row>
    <row r="29" spans="1:12" s="174" customFormat="1" ht="13.5" customHeight="1">
      <c r="A29" s="481" t="s">
        <v>478</v>
      </c>
      <c r="B29" s="607"/>
      <c r="C29" s="607"/>
      <c r="D29" s="607"/>
      <c r="E29" s="607"/>
      <c r="F29" s="607"/>
      <c r="G29" s="608"/>
      <c r="L29" s="175"/>
    </row>
    <row r="30" spans="1:12" s="175" customFormat="1" ht="13.5" customHeight="1">
      <c r="A30" s="481" t="s">
        <v>479</v>
      </c>
      <c r="B30" s="482"/>
      <c r="C30" s="482"/>
      <c r="D30" s="482"/>
      <c r="E30" s="482"/>
      <c r="F30" s="482"/>
      <c r="G30" s="483"/>
      <c r="H30" s="174"/>
      <c r="I30" s="174"/>
      <c r="J30" s="174"/>
      <c r="K30" s="174"/>
    </row>
    <row r="31" spans="1:12" s="174" customFormat="1" ht="13.5" customHeight="1">
      <c r="A31" s="606" t="s">
        <v>482</v>
      </c>
      <c r="B31" s="607"/>
      <c r="C31" s="607"/>
      <c r="D31" s="607"/>
      <c r="E31" s="607"/>
      <c r="F31" s="607"/>
      <c r="G31" s="608"/>
      <c r="L31" s="175"/>
    </row>
    <row r="32" spans="1:12" s="174" customFormat="1" ht="13.5" customHeight="1">
      <c r="A32" s="481"/>
      <c r="B32" s="482"/>
      <c r="C32" s="482"/>
      <c r="D32" s="482"/>
      <c r="E32" s="482"/>
      <c r="F32" s="482"/>
      <c r="G32" s="483"/>
      <c r="L32" s="175"/>
    </row>
    <row r="33" spans="1:12" s="174" customFormat="1" ht="13.5" customHeight="1">
      <c r="A33" s="481" t="s">
        <v>480</v>
      </c>
      <c r="B33" s="482"/>
      <c r="C33" s="482"/>
      <c r="D33" s="482"/>
      <c r="E33" s="482"/>
      <c r="F33" s="482"/>
      <c r="G33" s="483"/>
      <c r="L33" s="175"/>
    </row>
    <row r="34" spans="1:12" s="174" customFormat="1" ht="13.5" customHeight="1">
      <c r="A34" s="481" t="s">
        <v>481</v>
      </c>
      <c r="B34" s="482"/>
      <c r="C34" s="482"/>
      <c r="D34" s="482"/>
      <c r="E34" s="482"/>
      <c r="F34" s="482"/>
      <c r="G34" s="483"/>
      <c r="L34" s="175"/>
    </row>
    <row r="35" spans="1:12" s="174" customFormat="1" ht="13.5" customHeight="1">
      <c r="A35" s="481" t="s">
        <v>483</v>
      </c>
      <c r="B35" s="482"/>
      <c r="C35" s="482"/>
      <c r="D35" s="482"/>
      <c r="E35" s="482"/>
      <c r="F35" s="482"/>
      <c r="G35" s="483"/>
      <c r="L35" s="175"/>
    </row>
    <row r="36" spans="1:12" s="174" customFormat="1" ht="13.5" customHeight="1">
      <c r="A36" s="481" t="s">
        <v>484</v>
      </c>
      <c r="B36" s="482"/>
      <c r="C36" s="482"/>
      <c r="D36" s="482"/>
      <c r="E36" s="482"/>
      <c r="F36" s="482"/>
      <c r="G36" s="483"/>
      <c r="L36" s="175"/>
    </row>
    <row r="37" spans="1:12" s="174" customFormat="1" ht="13.5" customHeight="1">
      <c r="A37" s="481" t="s">
        <v>489</v>
      </c>
      <c r="B37" s="482"/>
      <c r="C37" s="482"/>
      <c r="D37" s="482"/>
      <c r="E37" s="482"/>
      <c r="F37" s="482"/>
      <c r="G37" s="483"/>
      <c r="L37" s="175"/>
    </row>
    <row r="38" spans="1:12" s="174" customFormat="1" ht="13.5" customHeight="1">
      <c r="A38" s="481" t="s">
        <v>485</v>
      </c>
      <c r="B38" s="482"/>
      <c r="C38" s="482"/>
      <c r="D38" s="482"/>
      <c r="E38" s="482"/>
      <c r="F38" s="482"/>
      <c r="G38" s="483"/>
      <c r="L38" s="175"/>
    </row>
    <row r="39" spans="1:12" s="174" customFormat="1" ht="13.5" customHeight="1">
      <c r="A39" s="481"/>
      <c r="B39" s="482"/>
      <c r="C39" s="482"/>
      <c r="D39" s="482"/>
      <c r="E39" s="482"/>
      <c r="F39" s="482"/>
      <c r="G39" s="483"/>
      <c r="L39" s="175"/>
    </row>
    <row r="40" spans="1:12" s="174" customFormat="1" ht="13.5" customHeight="1">
      <c r="A40" s="481" t="s">
        <v>486</v>
      </c>
      <c r="B40" s="482"/>
      <c r="C40" s="482"/>
      <c r="D40" s="482"/>
      <c r="E40" s="482"/>
      <c r="F40" s="482"/>
      <c r="G40" s="483"/>
      <c r="L40" s="175"/>
    </row>
    <row r="41" spans="1:12" s="174" customFormat="1" ht="13.5" customHeight="1">
      <c r="A41" s="481" t="s">
        <v>487</v>
      </c>
      <c r="B41" s="482"/>
      <c r="C41" s="482"/>
      <c r="D41" s="482"/>
      <c r="E41" s="482"/>
      <c r="F41" s="482"/>
      <c r="G41" s="483"/>
      <c r="L41" s="175"/>
    </row>
    <row r="42" spans="1:12" s="174" customFormat="1" ht="13.5" customHeight="1">
      <c r="A42" s="481" t="s">
        <v>488</v>
      </c>
      <c r="B42" s="482"/>
      <c r="C42" s="482"/>
      <c r="D42" s="482"/>
      <c r="E42" s="482"/>
      <c r="F42" s="482"/>
      <c r="G42" s="483"/>
      <c r="L42" s="175"/>
    </row>
    <row r="43" spans="1:12" s="174" customFormat="1" ht="13.5" customHeight="1">
      <c r="A43" s="481" t="s">
        <v>490</v>
      </c>
      <c r="B43" s="482"/>
      <c r="C43" s="482"/>
      <c r="D43" s="482"/>
      <c r="E43" s="482"/>
      <c r="F43" s="482"/>
      <c r="G43" s="483"/>
      <c r="L43" s="175"/>
    </row>
    <row r="44" spans="1:12" s="174" customFormat="1" ht="13.5" customHeight="1">
      <c r="A44" s="481" t="s">
        <v>494</v>
      </c>
      <c r="B44" s="482"/>
      <c r="C44" s="482"/>
      <c r="D44" s="482"/>
      <c r="E44" s="482"/>
      <c r="F44" s="482"/>
      <c r="G44" s="483"/>
      <c r="L44" s="175"/>
    </row>
    <row r="45" spans="1:12" s="174" customFormat="1" ht="13.5" customHeight="1">
      <c r="A45" s="481" t="s">
        <v>492</v>
      </c>
      <c r="B45" s="482"/>
      <c r="C45" s="482"/>
      <c r="D45" s="482"/>
      <c r="E45" s="482"/>
      <c r="F45" s="482"/>
      <c r="G45" s="483"/>
      <c r="L45" s="175"/>
    </row>
    <row r="46" spans="1:12" s="174" customFormat="1" ht="13.5" customHeight="1">
      <c r="A46" s="481" t="s">
        <v>493</v>
      </c>
      <c r="B46" s="482"/>
      <c r="C46" s="482"/>
      <c r="D46" s="482"/>
      <c r="E46" s="482"/>
      <c r="F46" s="482"/>
      <c r="G46" s="483"/>
      <c r="L46" s="175"/>
    </row>
    <row r="47" spans="1:12" s="174" customFormat="1" ht="13.5" customHeight="1">
      <c r="A47" s="481"/>
      <c r="B47" s="482"/>
      <c r="C47" s="482"/>
      <c r="D47" s="482"/>
      <c r="E47" s="482"/>
      <c r="F47" s="482"/>
      <c r="G47" s="483"/>
      <c r="L47" s="175"/>
    </row>
    <row r="48" spans="1:12" s="174" customFormat="1" ht="13.5" customHeight="1">
      <c r="A48" s="481"/>
      <c r="B48" s="482"/>
      <c r="C48" s="482"/>
      <c r="D48" s="482"/>
      <c r="E48" s="482"/>
      <c r="F48" s="482"/>
      <c r="G48" s="483"/>
      <c r="L48" s="175"/>
    </row>
    <row r="49" spans="1:12" s="174" customFormat="1" ht="13.5" customHeight="1">
      <c r="A49" s="481"/>
      <c r="B49" s="482"/>
      <c r="C49" s="482"/>
      <c r="D49" s="482"/>
      <c r="E49" s="482"/>
      <c r="F49" s="482"/>
      <c r="G49" s="483"/>
      <c r="L49" s="175"/>
    </row>
    <row r="50" spans="1:12" s="174" customFormat="1" ht="13.5" customHeight="1">
      <c r="A50" s="481"/>
      <c r="B50" s="482"/>
      <c r="C50" s="482"/>
      <c r="D50" s="482"/>
      <c r="E50" s="482"/>
      <c r="F50" s="482"/>
      <c r="G50" s="483"/>
      <c r="L50" s="175"/>
    </row>
    <row r="51" spans="1:12" s="174" customFormat="1" ht="13.5" customHeight="1">
      <c r="A51" s="481"/>
      <c r="B51" s="482"/>
      <c r="C51" s="482"/>
      <c r="D51" s="482"/>
      <c r="E51" s="482"/>
      <c r="F51" s="482"/>
      <c r="G51" s="483"/>
      <c r="L51" s="175"/>
    </row>
    <row r="52" spans="1:12" s="174" customFormat="1" ht="13.5" customHeight="1">
      <c r="A52" s="481"/>
      <c r="B52" s="482"/>
      <c r="C52" s="482"/>
      <c r="D52" s="482"/>
      <c r="E52" s="482"/>
      <c r="F52" s="482"/>
      <c r="G52" s="483"/>
      <c r="L52" s="175"/>
    </row>
    <row r="53" spans="1:12" s="174" customFormat="1" ht="13.5" customHeight="1">
      <c r="A53" s="481"/>
      <c r="B53" s="482"/>
      <c r="C53" s="482"/>
      <c r="D53" s="482"/>
      <c r="E53" s="482"/>
      <c r="F53" s="482"/>
      <c r="G53" s="483"/>
      <c r="L53" s="175"/>
    </row>
    <row r="54" spans="1:12" s="174" customFormat="1" ht="13.5" customHeight="1">
      <c r="A54" s="481"/>
      <c r="B54" s="482"/>
      <c r="C54" s="482"/>
      <c r="D54" s="482"/>
      <c r="E54" s="482"/>
      <c r="F54" s="482"/>
      <c r="G54" s="483"/>
      <c r="L54" s="175"/>
    </row>
    <row r="55" spans="1:12" s="174" customFormat="1" ht="13.5" customHeight="1">
      <c r="A55" s="481"/>
      <c r="B55" s="482"/>
      <c r="C55" s="482"/>
      <c r="D55" s="482"/>
      <c r="E55" s="482"/>
      <c r="F55" s="482"/>
      <c r="G55" s="483"/>
      <c r="L55" s="175"/>
    </row>
    <row r="56" spans="1:12" s="91" customFormat="1" ht="21">
      <c r="A56" s="35" t="s">
        <v>32</v>
      </c>
      <c r="B56" s="172">
        <f>$B$1</f>
        <v>10</v>
      </c>
      <c r="C56" s="36" t="s">
        <v>40</v>
      </c>
      <c r="D56" s="37" t="str">
        <f>$E$1</f>
        <v>遭遇毎</v>
      </c>
      <c r="E56" s="537" t="str">
        <f>$B$2</f>
        <v>フォッグ・フォーム</v>
      </c>
      <c r="F56" s="538"/>
      <c r="G56" s="539"/>
      <c r="L56" s="143"/>
    </row>
  </sheetData>
  <mergeCells count="59">
    <mergeCell ref="B6:D6"/>
    <mergeCell ref="B7:D7"/>
    <mergeCell ref="B8:G8"/>
    <mergeCell ref="B9:G9"/>
    <mergeCell ref="B10:G10"/>
    <mergeCell ref="B1:C1"/>
    <mergeCell ref="F1:G1"/>
    <mergeCell ref="B2:G2"/>
    <mergeCell ref="B4:G4"/>
    <mergeCell ref="B5:G5"/>
    <mergeCell ref="B15:G15"/>
    <mergeCell ref="B16:G16"/>
    <mergeCell ref="B17:G17"/>
    <mergeCell ref="B18:G18"/>
    <mergeCell ref="A20:G20"/>
    <mergeCell ref="J9:K9"/>
    <mergeCell ref="B12:G12"/>
    <mergeCell ref="J11:K11"/>
    <mergeCell ref="B13:G13"/>
    <mergeCell ref="B14:G14"/>
    <mergeCell ref="B11:G11"/>
    <mergeCell ref="E56:G56"/>
    <mergeCell ref="A54:G54"/>
    <mergeCell ref="A55:G55"/>
    <mergeCell ref="A19:G19"/>
    <mergeCell ref="A23:G23"/>
    <mergeCell ref="A24:G24"/>
    <mergeCell ref="A30:G30"/>
    <mergeCell ref="A52:G52"/>
    <mergeCell ref="A53:G53"/>
    <mergeCell ref="A46:G46"/>
    <mergeCell ref="A21:G21"/>
    <mergeCell ref="A22:G22"/>
    <mergeCell ref="A35:G35"/>
    <mergeCell ref="A36:G36"/>
    <mergeCell ref="A37:G37"/>
    <mergeCell ref="A43:G43"/>
    <mergeCell ref="H4:L4"/>
    <mergeCell ref="A50:G50"/>
    <mergeCell ref="A51:G51"/>
    <mergeCell ref="A26:G26"/>
    <mergeCell ref="A27:G27"/>
    <mergeCell ref="A28:G28"/>
    <mergeCell ref="A29:G29"/>
    <mergeCell ref="A31:G31"/>
    <mergeCell ref="A33:G33"/>
    <mergeCell ref="A34:G34"/>
    <mergeCell ref="A45:G45"/>
    <mergeCell ref="A47:G47"/>
    <mergeCell ref="A48:G48"/>
    <mergeCell ref="A25:G25"/>
    <mergeCell ref="A32:G32"/>
    <mergeCell ref="A49:G49"/>
    <mergeCell ref="A44:G44"/>
    <mergeCell ref="A38:G38"/>
    <mergeCell ref="A39:G39"/>
    <mergeCell ref="A40:G40"/>
    <mergeCell ref="A41:G41"/>
    <mergeCell ref="A42:G42"/>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5"/>
  <sheetViews>
    <sheetView zoomScaleNormal="100" workbookViewId="0">
      <selection activeCell="B2" sqref="B2:G2"/>
    </sheetView>
  </sheetViews>
  <sheetFormatPr defaultColWidth="9" defaultRowHeight="13.5"/>
  <cols>
    <col min="1" max="1" width="7.875" style="173" customWidth="1"/>
    <col min="2" max="2" width="8.5" style="173" customWidth="1"/>
    <col min="3" max="3" width="6.625" style="173" customWidth="1"/>
    <col min="4" max="4" width="15.75" style="17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73" customWidth="1"/>
    <col min="13" max="13" width="9.25" style="173" customWidth="1"/>
    <col min="14" max="14" width="12.375" style="173" customWidth="1"/>
    <col min="15" max="16384" width="9" style="173"/>
  </cols>
  <sheetData>
    <row r="1" spans="1:12" ht="21">
      <c r="A1" s="127" t="s">
        <v>32</v>
      </c>
      <c r="B1" s="577">
        <v>12</v>
      </c>
      <c r="C1" s="579"/>
      <c r="D1" s="128" t="s">
        <v>40</v>
      </c>
      <c r="E1" s="129" t="s">
        <v>125</v>
      </c>
      <c r="F1" s="565"/>
      <c r="G1" s="566"/>
      <c r="H1" s="96" t="s">
        <v>55</v>
      </c>
    </row>
    <row r="2" spans="1:12" ht="24.75" customHeight="1">
      <c r="A2" s="128" t="s">
        <v>0</v>
      </c>
      <c r="B2" s="567" t="s">
        <v>272</v>
      </c>
      <c r="C2" s="567"/>
      <c r="D2" s="567"/>
      <c r="E2" s="567"/>
      <c r="F2" s="567"/>
      <c r="G2" s="567"/>
      <c r="H2" s="96" t="s">
        <v>56</v>
      </c>
    </row>
    <row r="3" spans="1:12" ht="19.5" customHeight="1">
      <c r="A3" s="102" t="s">
        <v>48</v>
      </c>
      <c r="B3" s="91"/>
      <c r="C3" s="91"/>
      <c r="D3" s="91"/>
      <c r="I3" s="96"/>
    </row>
    <row r="4" spans="1:12">
      <c r="A4" s="76" t="s">
        <v>46</v>
      </c>
      <c r="B4" s="439" t="s">
        <v>246</v>
      </c>
      <c r="C4" s="440"/>
      <c r="D4" s="440"/>
      <c r="E4" s="440"/>
      <c r="F4" s="440"/>
      <c r="G4" s="441"/>
      <c r="H4" s="381" t="s">
        <v>201</v>
      </c>
      <c r="I4" s="382"/>
      <c r="J4" s="382"/>
      <c r="K4" s="382"/>
      <c r="L4" s="383"/>
    </row>
    <row r="5" spans="1:12">
      <c r="A5" s="77" t="s">
        <v>39</v>
      </c>
      <c r="B5" s="439" t="s">
        <v>161</v>
      </c>
      <c r="C5" s="440"/>
      <c r="D5" s="440"/>
      <c r="E5" s="440"/>
      <c r="F5" s="440"/>
      <c r="G5" s="441"/>
      <c r="H5" s="182" t="s">
        <v>43</v>
      </c>
      <c r="I5" s="184" t="s">
        <v>88</v>
      </c>
      <c r="J5" s="184"/>
    </row>
    <row r="6" spans="1:12">
      <c r="A6" s="77" t="s">
        <v>7</v>
      </c>
      <c r="B6" s="615" t="s">
        <v>127</v>
      </c>
      <c r="C6" s="616"/>
      <c r="D6" s="617"/>
      <c r="E6" s="182" t="s">
        <v>43</v>
      </c>
      <c r="F6" s="183" t="str">
        <f>IF($I$5 = 0,"", $I$5)</f>
        <v>使用者</v>
      </c>
      <c r="G6" s="183" t="str">
        <f>IF($J$5 = 0,"", $J$5)</f>
        <v/>
      </c>
      <c r="H6" s="182" t="s">
        <v>66</v>
      </c>
      <c r="I6" s="184"/>
      <c r="J6" s="184"/>
    </row>
    <row r="7" spans="1:12">
      <c r="A7" s="78" t="s">
        <v>6</v>
      </c>
      <c r="B7" s="439"/>
      <c r="C7" s="440"/>
      <c r="D7" s="441"/>
      <c r="E7" s="182" t="s">
        <v>66</v>
      </c>
      <c r="F7" s="183" t="str">
        <f>IF($I$6 = 0,"", $I$6)</f>
        <v/>
      </c>
      <c r="G7" s="183" t="str">
        <f>IF($J$6 = 0,"", $J$6)</f>
        <v/>
      </c>
      <c r="H7" s="182" t="s">
        <v>85</v>
      </c>
      <c r="I7" s="184" t="s">
        <v>112</v>
      </c>
      <c r="J7" s="96" t="s">
        <v>62</v>
      </c>
      <c r="L7" s="191" t="s">
        <v>193</v>
      </c>
    </row>
    <row r="8" spans="1:12" ht="13.5" customHeight="1">
      <c r="A8" s="78" t="s">
        <v>247</v>
      </c>
      <c r="B8" s="444" t="s">
        <v>248</v>
      </c>
      <c r="C8" s="445"/>
      <c r="D8" s="445"/>
      <c r="E8" s="445"/>
      <c r="F8" s="445"/>
      <c r="G8" s="446"/>
      <c r="H8" s="182" t="s">
        <v>51</v>
      </c>
      <c r="I8" s="184" t="s">
        <v>17</v>
      </c>
      <c r="J8" s="183">
        <f>IF($I$8 = "筋力",基本!$C$5,IF($I$8 = "耐久力",基本!$C$6,IF($I$8 = "敏捷力",基本!$C$7,IF($I$8 = "知力",基本!$C$8,IF($I$8 = "判断力",基本!$C$9,IF($I$8 = "魅力",基本!$C$10,""))))))</f>
        <v>6</v>
      </c>
      <c r="K8" s="184" t="s">
        <v>90</v>
      </c>
      <c r="L8" s="192">
        <f>$J$8+$L$9+$I$9</f>
        <v>7</v>
      </c>
    </row>
    <row r="9" spans="1:12" ht="13.5" customHeight="1">
      <c r="A9" s="80" t="s">
        <v>61</v>
      </c>
      <c r="B9" s="444" t="s">
        <v>249</v>
      </c>
      <c r="C9" s="445"/>
      <c r="D9" s="445"/>
      <c r="E9" s="445"/>
      <c r="F9" s="445"/>
      <c r="G9" s="446"/>
      <c r="H9" s="182" t="s">
        <v>58</v>
      </c>
      <c r="I9" s="184">
        <v>1</v>
      </c>
      <c r="J9" s="381" t="s">
        <v>53</v>
      </c>
      <c r="K9" s="383"/>
      <c r="L9" s="183">
        <f>IF($I$7=基本!$F$4,基本!$O$7,IF($I$7=基本!$F$13,基本!$O$16,IF($I$7=基本!$F$22,基本!$O$25,IF($I$7=基本!$F$31,基本!$O$34,IF($I$7=基本!$F$40,基本!$O$43,0)))))</f>
        <v>0</v>
      </c>
    </row>
    <row r="10" spans="1:12" ht="13.5" customHeight="1">
      <c r="A10" s="80"/>
      <c r="B10" s="481" t="s">
        <v>250</v>
      </c>
      <c r="C10" s="482"/>
      <c r="D10" s="482"/>
      <c r="E10" s="482"/>
      <c r="F10" s="482"/>
      <c r="G10" s="483"/>
      <c r="H10" s="181" t="s">
        <v>52</v>
      </c>
      <c r="I10" s="184" t="s">
        <v>17</v>
      </c>
      <c r="J10" s="100">
        <f>IF($I$8 = "筋力",基本!$C$5,IF($I$10 = "耐久力",基本!$C$6,IF($I$10 = "敏捷力",基本!$C$7,IF($I$10 = "知力",基本!$C$8,IF($I$10 = "判断力",基本!$C$9,IF($I$10 = "魅力",基本!$C$10,""))))))</f>
        <v>6</v>
      </c>
      <c r="L10" s="91"/>
    </row>
    <row r="11" spans="1:12" ht="13.5" customHeight="1">
      <c r="A11" s="80"/>
      <c r="B11" s="481"/>
      <c r="C11" s="482"/>
      <c r="D11" s="482"/>
      <c r="E11" s="482"/>
      <c r="F11" s="482"/>
      <c r="G11" s="483"/>
      <c r="H11" s="182" t="s">
        <v>59</v>
      </c>
      <c r="I11" s="184">
        <v>0</v>
      </c>
      <c r="J11" s="381" t="s">
        <v>54</v>
      </c>
      <c r="K11" s="383"/>
      <c r="L11" s="183">
        <f>IF($I$7=基本!$F$4,基本!$O$9,IF($I$7=基本!$F$13,基本!$O$18,IF($I$7=基本!$F$22,基本!$O$27,IF($I$7=基本!$F$31,基本!$O$36,IF($I$7=基本!$F$40,基本!$O$45,0)))))</f>
        <v>0</v>
      </c>
    </row>
    <row r="12" spans="1:12">
      <c r="A12" s="80"/>
      <c r="B12" s="481"/>
      <c r="C12" s="482"/>
      <c r="D12" s="482"/>
      <c r="E12" s="482"/>
      <c r="F12" s="482"/>
      <c r="G12" s="483"/>
      <c r="H12" s="174"/>
      <c r="I12" s="174"/>
      <c r="J12" s="174"/>
      <c r="K12" s="174"/>
      <c r="L12" s="191" t="s">
        <v>193</v>
      </c>
    </row>
    <row r="13" spans="1:12" ht="13.5" customHeight="1">
      <c r="A13" s="80"/>
      <c r="B13" s="618"/>
      <c r="C13" s="619"/>
      <c r="D13" s="619"/>
      <c r="E13" s="619"/>
      <c r="F13" s="619"/>
      <c r="G13" s="620"/>
      <c r="H13" s="182" t="s">
        <v>86</v>
      </c>
      <c r="I13" s="184">
        <v>2</v>
      </c>
      <c r="J13" s="182" t="s">
        <v>44</v>
      </c>
      <c r="K13" s="184">
        <v>10</v>
      </c>
      <c r="L13" s="192">
        <f>$J$10+$L$11+$I$11</f>
        <v>6</v>
      </c>
    </row>
    <row r="14" spans="1:12" ht="13.5" customHeight="1">
      <c r="A14" s="80"/>
      <c r="B14" s="464"/>
      <c r="C14" s="368"/>
      <c r="D14" s="368"/>
      <c r="E14" s="368"/>
      <c r="F14" s="368"/>
      <c r="G14" s="465"/>
      <c r="H14" s="182" t="s">
        <v>50</v>
      </c>
      <c r="I14" s="32">
        <f>IF($I$7=基本!$F$4,基本!$L$11,IF($I$7=基本!$F$13,基本!$L$20,IF($I$7=基本!$F$22,基本!$L$29,IF($I$7=基本!$F$31,基本!$L$38,IF($I$7=基本!$F$40,基本!$L$47,0)))))</f>
        <v>0</v>
      </c>
      <c r="J14" s="182" t="s">
        <v>44</v>
      </c>
      <c r="K14" s="32">
        <f>IF($I$7=基本!$F$4,基本!$N$11,IF($I$7=基本!$F$13,基本!$N$20,IF($I$7=基本!$F$22,基本!$N$29,IF($I$7=基本!$F$31,基本!$N$38,IF($I$7=基本!$F$40,基本!$N$47,0)))))</f>
        <v>0</v>
      </c>
      <c r="L14" s="192">
        <f>$J$10+$L$11+$I$11+($I$13*$K$13)</f>
        <v>26</v>
      </c>
    </row>
    <row r="15" spans="1:12" ht="13.5" customHeight="1">
      <c r="A15" s="80"/>
      <c r="B15" s="618"/>
      <c r="C15" s="619"/>
      <c r="D15" s="619"/>
      <c r="E15" s="619"/>
      <c r="F15" s="619"/>
      <c r="G15" s="620"/>
      <c r="H15" s="182" t="s">
        <v>60</v>
      </c>
      <c r="I15" s="184"/>
      <c r="J15" s="182" t="s">
        <v>195</v>
      </c>
      <c r="K15" s="184" t="s">
        <v>17</v>
      </c>
      <c r="L15" s="183">
        <f>IF(K15="",0,VLOOKUP(K15,基本!$A$5:'基本'!$C$10,3,FALSE))</f>
        <v>6</v>
      </c>
    </row>
    <row r="16" spans="1:12" ht="13.5" customHeight="1">
      <c r="A16" s="80"/>
      <c r="B16" s="464"/>
      <c r="C16" s="368"/>
      <c r="D16" s="368"/>
      <c r="E16" s="368"/>
      <c r="F16" s="368"/>
      <c r="G16" s="465"/>
    </row>
    <row r="17" spans="1:12" ht="13.5" customHeight="1">
      <c r="A17" s="80"/>
      <c r="B17" s="464"/>
      <c r="C17" s="368"/>
      <c r="D17" s="368"/>
      <c r="E17" s="368"/>
      <c r="F17" s="368"/>
      <c r="G17" s="465"/>
      <c r="J17" s="173"/>
      <c r="K17" s="173"/>
    </row>
    <row r="18" spans="1:12" ht="13.5" customHeight="1">
      <c r="A18" s="81"/>
      <c r="B18" s="609"/>
      <c r="C18" s="610"/>
      <c r="D18" s="610"/>
      <c r="E18" s="610"/>
      <c r="F18" s="610"/>
      <c r="G18" s="611"/>
      <c r="J18" s="173"/>
      <c r="K18" s="173"/>
    </row>
    <row r="19" spans="1:12">
      <c r="A19" s="610"/>
      <c r="B19" s="610"/>
      <c r="C19" s="610"/>
      <c r="D19" s="610"/>
      <c r="E19" s="610"/>
      <c r="F19" s="610"/>
      <c r="G19" s="610"/>
    </row>
    <row r="20" spans="1:12" ht="13.5" customHeight="1">
      <c r="A20" s="473" t="s">
        <v>49</v>
      </c>
      <c r="B20" s="474"/>
      <c r="C20" s="474"/>
      <c r="D20" s="474"/>
      <c r="E20" s="474"/>
      <c r="F20" s="474"/>
      <c r="G20" s="475"/>
    </row>
    <row r="21" spans="1:12" s="174" customFormat="1" ht="13.5" customHeight="1">
      <c r="A21" s="624"/>
      <c r="B21" s="625"/>
      <c r="C21" s="625"/>
      <c r="D21" s="625"/>
      <c r="E21" s="625"/>
      <c r="F21" s="625"/>
      <c r="G21" s="626"/>
      <c r="L21" s="175"/>
    </row>
    <row r="22" spans="1:12" s="174" customFormat="1" ht="13.5" customHeight="1">
      <c r="A22" s="481" t="s">
        <v>285</v>
      </c>
      <c r="B22" s="482"/>
      <c r="C22" s="482"/>
      <c r="D22" s="482"/>
      <c r="E22" s="482"/>
      <c r="F22" s="482"/>
      <c r="G22" s="483"/>
      <c r="L22" s="175"/>
    </row>
    <row r="23" spans="1:12" s="174" customFormat="1" ht="13.5" customHeight="1">
      <c r="A23" s="481"/>
      <c r="B23" s="482"/>
      <c r="C23" s="482"/>
      <c r="D23" s="482"/>
      <c r="E23" s="482"/>
      <c r="F23" s="482"/>
      <c r="G23" s="483"/>
      <c r="L23" s="175"/>
    </row>
    <row r="24" spans="1:12" s="174" customFormat="1" ht="13.5" customHeight="1">
      <c r="A24" s="481" t="s">
        <v>368</v>
      </c>
      <c r="B24" s="482"/>
      <c r="C24" s="482"/>
      <c r="D24" s="482"/>
      <c r="E24" s="482"/>
      <c r="F24" s="482"/>
      <c r="G24" s="483"/>
      <c r="L24" s="175"/>
    </row>
    <row r="25" spans="1:12" s="175" customFormat="1" ht="13.5" customHeight="1">
      <c r="A25" s="481" t="s">
        <v>369</v>
      </c>
      <c r="B25" s="482"/>
      <c r="C25" s="482"/>
      <c r="D25" s="482"/>
      <c r="E25" s="482"/>
      <c r="F25" s="482"/>
      <c r="G25" s="483"/>
      <c r="H25" s="174"/>
      <c r="I25" s="174"/>
      <c r="J25" s="174"/>
      <c r="K25" s="174"/>
    </row>
    <row r="26" spans="1:12" s="174" customFormat="1" ht="13.5" customHeight="1">
      <c r="A26" s="481" t="s">
        <v>370</v>
      </c>
      <c r="B26" s="482"/>
      <c r="C26" s="482"/>
      <c r="D26" s="482"/>
      <c r="E26" s="482"/>
      <c r="F26" s="482"/>
      <c r="G26" s="483"/>
      <c r="L26" s="175"/>
    </row>
    <row r="27" spans="1:12" s="174" customFormat="1" ht="13.5" customHeight="1">
      <c r="A27" s="481" t="s">
        <v>372</v>
      </c>
      <c r="B27" s="482"/>
      <c r="C27" s="482"/>
      <c r="D27" s="482"/>
      <c r="E27" s="482"/>
      <c r="F27" s="482"/>
      <c r="G27" s="483"/>
      <c r="L27" s="175"/>
    </row>
    <row r="28" spans="1:12" s="174" customFormat="1" ht="13.5" customHeight="1">
      <c r="A28" s="481" t="s">
        <v>371</v>
      </c>
      <c r="B28" s="482"/>
      <c r="C28" s="482"/>
      <c r="D28" s="482"/>
      <c r="E28" s="482"/>
      <c r="F28" s="482"/>
      <c r="G28" s="483"/>
      <c r="L28" s="175"/>
    </row>
    <row r="29" spans="1:12" s="175" customFormat="1" ht="13.5" customHeight="1">
      <c r="A29" s="481"/>
      <c r="B29" s="482"/>
      <c r="C29" s="482"/>
      <c r="D29" s="482"/>
      <c r="E29" s="482"/>
      <c r="F29" s="482"/>
      <c r="G29" s="483"/>
      <c r="H29" s="174"/>
      <c r="I29" s="174"/>
      <c r="J29" s="174"/>
      <c r="K29" s="174"/>
    </row>
    <row r="30" spans="1:12" s="174" customFormat="1" ht="13.5" customHeight="1">
      <c r="A30" s="481" t="s">
        <v>445</v>
      </c>
      <c r="B30" s="482"/>
      <c r="C30" s="482"/>
      <c r="D30" s="482"/>
      <c r="E30" s="482"/>
      <c r="F30" s="482"/>
      <c r="G30" s="483"/>
      <c r="L30" s="175"/>
    </row>
    <row r="31" spans="1:12" s="174" customFormat="1" ht="13.5" customHeight="1">
      <c r="A31" s="481" t="s">
        <v>446</v>
      </c>
      <c r="B31" s="482"/>
      <c r="C31" s="482"/>
      <c r="D31" s="482"/>
      <c r="E31" s="482"/>
      <c r="F31" s="482"/>
      <c r="G31" s="483"/>
      <c r="L31" s="175"/>
    </row>
    <row r="32" spans="1:12" s="175" customFormat="1" ht="13.5" customHeight="1">
      <c r="A32" s="481" t="s">
        <v>471</v>
      </c>
      <c r="B32" s="482"/>
      <c r="C32" s="482"/>
      <c r="D32" s="482"/>
      <c r="E32" s="482"/>
      <c r="F32" s="482"/>
      <c r="G32" s="483"/>
      <c r="H32" s="174"/>
      <c r="I32" s="174"/>
      <c r="J32" s="174"/>
      <c r="K32" s="174"/>
    </row>
    <row r="33" spans="1:12" s="174" customFormat="1" ht="13.5" customHeight="1">
      <c r="A33" s="481" t="s">
        <v>447</v>
      </c>
      <c r="B33" s="482"/>
      <c r="C33" s="482"/>
      <c r="D33" s="482"/>
      <c r="E33" s="482"/>
      <c r="F33" s="482"/>
      <c r="G33" s="483"/>
      <c r="L33" s="175"/>
    </row>
    <row r="34" spans="1:12" s="174" customFormat="1" ht="13.5" customHeight="1">
      <c r="A34" s="481"/>
      <c r="B34" s="482"/>
      <c r="C34" s="482"/>
      <c r="D34" s="482"/>
      <c r="E34" s="482"/>
      <c r="F34" s="482"/>
      <c r="G34" s="483"/>
      <c r="L34" s="175"/>
    </row>
    <row r="35" spans="1:12" s="174" customFormat="1" ht="13.5" customHeight="1">
      <c r="A35" s="481" t="s">
        <v>286</v>
      </c>
      <c r="B35" s="482"/>
      <c r="C35" s="482"/>
      <c r="D35" s="482"/>
      <c r="E35" s="482"/>
      <c r="F35" s="482"/>
      <c r="G35" s="483"/>
      <c r="L35" s="175"/>
    </row>
    <row r="36" spans="1:12" s="174" customFormat="1" ht="13.5" customHeight="1">
      <c r="A36" s="481" t="s">
        <v>167</v>
      </c>
      <c r="B36" s="482"/>
      <c r="C36" s="482"/>
      <c r="D36" s="482"/>
      <c r="E36" s="482"/>
      <c r="F36" s="482"/>
      <c r="G36" s="483"/>
      <c r="L36" s="175"/>
    </row>
    <row r="37" spans="1:12" s="174" customFormat="1" ht="13.5" customHeight="1">
      <c r="A37" s="481"/>
      <c r="B37" s="482"/>
      <c r="C37" s="482"/>
      <c r="D37" s="482"/>
      <c r="E37" s="482"/>
      <c r="F37" s="482"/>
      <c r="G37" s="483"/>
      <c r="L37" s="175"/>
    </row>
    <row r="38" spans="1:12" s="174" customFormat="1" ht="13.5" customHeight="1">
      <c r="A38" s="481"/>
      <c r="B38" s="482"/>
      <c r="C38" s="482"/>
      <c r="D38" s="482"/>
      <c r="E38" s="482"/>
      <c r="F38" s="482"/>
      <c r="G38" s="483"/>
      <c r="L38" s="175"/>
    </row>
    <row r="39" spans="1:12" s="174" customFormat="1" ht="13.5" customHeight="1">
      <c r="A39" s="481"/>
      <c r="B39" s="482"/>
      <c r="C39" s="482"/>
      <c r="D39" s="482"/>
      <c r="E39" s="482"/>
      <c r="F39" s="482"/>
      <c r="G39" s="483"/>
      <c r="L39" s="175"/>
    </row>
    <row r="40" spans="1:12" s="174" customFormat="1" ht="13.5" customHeight="1">
      <c r="A40" s="481"/>
      <c r="B40" s="482"/>
      <c r="C40" s="482"/>
      <c r="D40" s="482"/>
      <c r="E40" s="482"/>
      <c r="F40" s="482"/>
      <c r="G40" s="483"/>
      <c r="L40" s="175"/>
    </row>
    <row r="41" spans="1:12" s="174" customFormat="1" ht="13.5" customHeight="1">
      <c r="A41" s="481"/>
      <c r="B41" s="482"/>
      <c r="C41" s="482"/>
      <c r="D41" s="482"/>
      <c r="E41" s="482"/>
      <c r="F41" s="482"/>
      <c r="G41" s="483"/>
      <c r="L41" s="175"/>
    </row>
    <row r="42" spans="1:12" s="174" customFormat="1" ht="13.5" customHeight="1">
      <c r="A42" s="481"/>
      <c r="B42" s="482"/>
      <c r="C42" s="482"/>
      <c r="D42" s="482"/>
      <c r="E42" s="482"/>
      <c r="F42" s="482"/>
      <c r="G42" s="483"/>
      <c r="L42" s="175"/>
    </row>
    <row r="43" spans="1:12" s="174" customFormat="1" ht="13.5" customHeight="1">
      <c r="A43" s="481"/>
      <c r="B43" s="482"/>
      <c r="C43" s="482"/>
      <c r="D43" s="482"/>
      <c r="E43" s="482"/>
      <c r="F43" s="482"/>
      <c r="G43" s="483"/>
      <c r="L43" s="175"/>
    </row>
    <row r="44" spans="1:12" s="174" customFormat="1" ht="13.5" customHeight="1">
      <c r="A44" s="481"/>
      <c r="B44" s="482"/>
      <c r="C44" s="482"/>
      <c r="D44" s="482"/>
      <c r="E44" s="482"/>
      <c r="F44" s="482"/>
      <c r="G44" s="483"/>
      <c r="L44" s="175"/>
    </row>
    <row r="45" spans="1:12" s="174" customFormat="1" ht="13.5" customHeight="1">
      <c r="A45" s="481"/>
      <c r="B45" s="482"/>
      <c r="C45" s="482"/>
      <c r="D45" s="482"/>
      <c r="E45" s="482"/>
      <c r="F45" s="482"/>
      <c r="G45" s="483"/>
      <c r="L45" s="175"/>
    </row>
    <row r="46" spans="1:12" s="174" customFormat="1" ht="13.5" customHeight="1">
      <c r="A46" s="481"/>
      <c r="B46" s="482"/>
      <c r="C46" s="482"/>
      <c r="D46" s="482"/>
      <c r="E46" s="482"/>
      <c r="F46" s="482"/>
      <c r="G46" s="483"/>
      <c r="L46" s="175"/>
    </row>
    <row r="47" spans="1:12" s="174" customFormat="1" ht="13.5" customHeight="1">
      <c r="A47" s="481"/>
      <c r="B47" s="482"/>
      <c r="C47" s="482"/>
      <c r="D47" s="482"/>
      <c r="E47" s="482"/>
      <c r="F47" s="482"/>
      <c r="G47" s="483"/>
      <c r="L47" s="175"/>
    </row>
    <row r="48" spans="1:12" s="174" customFormat="1" ht="13.5" customHeight="1">
      <c r="A48" s="481"/>
      <c r="B48" s="482"/>
      <c r="C48" s="482"/>
      <c r="D48" s="482"/>
      <c r="E48" s="482"/>
      <c r="F48" s="482"/>
      <c r="G48" s="483"/>
      <c r="L48" s="175"/>
    </row>
    <row r="49" spans="1:12" s="174" customFormat="1" ht="13.5" customHeight="1">
      <c r="A49" s="481"/>
      <c r="B49" s="482"/>
      <c r="C49" s="482"/>
      <c r="D49" s="482"/>
      <c r="E49" s="482"/>
      <c r="F49" s="482"/>
      <c r="G49" s="483"/>
      <c r="L49" s="175"/>
    </row>
    <row r="50" spans="1:12" s="174" customFormat="1" ht="13.5" customHeight="1">
      <c r="A50" s="481"/>
      <c r="B50" s="482"/>
      <c r="C50" s="482"/>
      <c r="D50" s="482"/>
      <c r="E50" s="482"/>
      <c r="F50" s="482"/>
      <c r="G50" s="483"/>
      <c r="L50" s="175"/>
    </row>
    <row r="51" spans="1:12" s="174" customFormat="1" ht="13.5" customHeight="1">
      <c r="A51" s="481"/>
      <c r="B51" s="482"/>
      <c r="C51" s="482"/>
      <c r="D51" s="482"/>
      <c r="E51" s="482"/>
      <c r="F51" s="482"/>
      <c r="G51" s="483"/>
      <c r="L51" s="175"/>
    </row>
    <row r="52" spans="1:12" s="174" customFormat="1" ht="13.5" customHeight="1">
      <c r="A52" s="481"/>
      <c r="B52" s="482"/>
      <c r="C52" s="482"/>
      <c r="D52" s="482"/>
      <c r="E52" s="482"/>
      <c r="F52" s="482"/>
      <c r="G52" s="483"/>
      <c r="L52" s="175"/>
    </row>
    <row r="53" spans="1:12" s="174" customFormat="1" ht="13.5" customHeight="1">
      <c r="A53" s="481"/>
      <c r="B53" s="482"/>
      <c r="C53" s="482"/>
      <c r="D53" s="482"/>
      <c r="E53" s="482"/>
      <c r="F53" s="482"/>
      <c r="G53" s="483"/>
      <c r="L53" s="175"/>
    </row>
    <row r="54" spans="1:12" s="174" customFormat="1" ht="13.5" customHeight="1">
      <c r="A54" s="481"/>
      <c r="B54" s="482"/>
      <c r="C54" s="482"/>
      <c r="D54" s="482"/>
      <c r="E54" s="482"/>
      <c r="F54" s="482"/>
      <c r="G54" s="483"/>
      <c r="L54" s="175"/>
    </row>
    <row r="55" spans="1:12" s="91" customFormat="1" ht="21">
      <c r="A55" s="130" t="s">
        <v>32</v>
      </c>
      <c r="B55" s="186">
        <f>$B$1</f>
        <v>12</v>
      </c>
      <c r="C55" s="132" t="s">
        <v>40</v>
      </c>
      <c r="D55" s="133" t="str">
        <f>$E$1</f>
        <v>一日毎</v>
      </c>
      <c r="E55" s="577" t="str">
        <f>$B$2</f>
        <v>デモニック・ラス</v>
      </c>
      <c r="F55" s="578"/>
      <c r="G55" s="579"/>
      <c r="L55" s="173"/>
    </row>
  </sheetData>
  <mergeCells count="58">
    <mergeCell ref="A53:G53"/>
    <mergeCell ref="A54:G54"/>
    <mergeCell ref="E55:G55"/>
    <mergeCell ref="A50:G50"/>
    <mergeCell ref="A51:G51"/>
    <mergeCell ref="A52:G52"/>
    <mergeCell ref="A49:G49"/>
    <mergeCell ref="A31:G31"/>
    <mergeCell ref="A32:G32"/>
    <mergeCell ref="A33:G33"/>
    <mergeCell ref="A34:G34"/>
    <mergeCell ref="A38:G38"/>
    <mergeCell ref="A39:G39"/>
    <mergeCell ref="A40:G40"/>
    <mergeCell ref="A45:G45"/>
    <mergeCell ref="A46:G46"/>
    <mergeCell ref="A47:G47"/>
    <mergeCell ref="A48:G48"/>
    <mergeCell ref="A41:G41"/>
    <mergeCell ref="A42:G42"/>
    <mergeCell ref="A43:G43"/>
    <mergeCell ref="A44:G44"/>
    <mergeCell ref="A22:G22"/>
    <mergeCell ref="A23:G23"/>
    <mergeCell ref="A24:G24"/>
    <mergeCell ref="A25:G25"/>
    <mergeCell ref="A26:G26"/>
    <mergeCell ref="A35:G35"/>
    <mergeCell ref="A36:G36"/>
    <mergeCell ref="A37:G37"/>
    <mergeCell ref="A27:G27"/>
    <mergeCell ref="A28:G28"/>
    <mergeCell ref="A30:G30"/>
    <mergeCell ref="A29:G29"/>
    <mergeCell ref="A21:G21"/>
    <mergeCell ref="B11:G11"/>
    <mergeCell ref="J11:K11"/>
    <mergeCell ref="B12:G12"/>
    <mergeCell ref="B13:G13"/>
    <mergeCell ref="B14:G14"/>
    <mergeCell ref="B15:G15"/>
    <mergeCell ref="B16:G16"/>
    <mergeCell ref="B17:G17"/>
    <mergeCell ref="B18:G18"/>
    <mergeCell ref="A19:G19"/>
    <mergeCell ref="A20:G20"/>
    <mergeCell ref="H4:L4"/>
    <mergeCell ref="B5:G5"/>
    <mergeCell ref="B10:G10"/>
    <mergeCell ref="B1:C1"/>
    <mergeCell ref="F1:G1"/>
    <mergeCell ref="B2:G2"/>
    <mergeCell ref="B4:G4"/>
    <mergeCell ref="B6:D6"/>
    <mergeCell ref="B7:D7"/>
    <mergeCell ref="B8:G8"/>
    <mergeCell ref="B9:G9"/>
    <mergeCell ref="J9:K9"/>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8"/>
  <sheetViews>
    <sheetView tabSelected="1" topLeftCell="M1" zoomScaleNormal="100" workbookViewId="0">
      <selection activeCell="N2" sqref="N2"/>
    </sheetView>
  </sheetViews>
  <sheetFormatPr defaultRowHeight="13.5"/>
  <cols>
    <col min="1" max="1" width="8" customWidth="1"/>
    <col min="3" max="3" width="9.75" customWidth="1"/>
    <col min="5" max="5" width="9.5" bestFit="1" customWidth="1"/>
    <col min="15" max="15" width="9" style="46"/>
    <col min="16" max="16" width="7.375" customWidth="1"/>
    <col min="17" max="17" width="12.25" customWidth="1"/>
  </cols>
  <sheetData>
    <row r="1" spans="1:24">
      <c r="A1" s="8" t="s">
        <v>30</v>
      </c>
      <c r="B1" s="390" t="s">
        <v>130</v>
      </c>
      <c r="C1" s="390"/>
      <c r="D1" s="390"/>
      <c r="E1" s="197" t="s">
        <v>104</v>
      </c>
      <c r="F1" s="197" t="s">
        <v>105</v>
      </c>
      <c r="G1" s="197" t="s">
        <v>107</v>
      </c>
      <c r="H1" s="197" t="s">
        <v>106</v>
      </c>
      <c r="I1" s="197" t="s">
        <v>108</v>
      </c>
      <c r="J1" s="197" t="s">
        <v>212</v>
      </c>
      <c r="K1" s="328" t="s">
        <v>513</v>
      </c>
      <c r="M1" s="15" t="s">
        <v>63</v>
      </c>
      <c r="N1" s="167">
        <v>5</v>
      </c>
      <c r="O1" s="173"/>
    </row>
    <row r="2" spans="1:24">
      <c r="A2" s="8" t="s">
        <v>31</v>
      </c>
      <c r="B2" s="391" t="s">
        <v>261</v>
      </c>
      <c r="C2" s="392"/>
      <c r="D2" s="393"/>
      <c r="E2" s="67">
        <v>12</v>
      </c>
      <c r="F2" s="67">
        <v>5</v>
      </c>
      <c r="G2" s="67">
        <v>0</v>
      </c>
      <c r="H2" s="67">
        <v>6</v>
      </c>
      <c r="I2" s="67">
        <v>0</v>
      </c>
      <c r="J2" s="184">
        <v>2</v>
      </c>
      <c r="K2" s="327">
        <v>2</v>
      </c>
      <c r="N2" t="s">
        <v>89</v>
      </c>
    </row>
    <row r="3" spans="1:24" ht="14.25" thickBot="1">
      <c r="A3" s="9" t="s">
        <v>32</v>
      </c>
      <c r="B3" s="43">
        <v>17</v>
      </c>
    </row>
    <row r="4" spans="1:24" ht="14.25" thickBot="1">
      <c r="A4" s="7"/>
      <c r="B4" s="6" t="s">
        <v>10</v>
      </c>
      <c r="C4" s="6" t="s">
        <v>11</v>
      </c>
      <c r="D4" s="6"/>
      <c r="F4" s="387" t="s">
        <v>38</v>
      </c>
      <c r="G4" s="388"/>
    </row>
    <row r="5" spans="1:24">
      <c r="A5" s="8" t="s">
        <v>12</v>
      </c>
      <c r="B5" s="5">
        <v>11</v>
      </c>
      <c r="C5" s="14">
        <f>INT(($B$5-10)/2)</f>
        <v>0</v>
      </c>
      <c r="D5" s="4">
        <f>INT($B$3/2)+$C5</f>
        <v>8</v>
      </c>
      <c r="F5" s="384" t="s">
        <v>187</v>
      </c>
      <c r="G5" s="384"/>
      <c r="H5" s="385"/>
      <c r="I5" s="385"/>
      <c r="J5" s="385"/>
      <c r="K5" s="385"/>
      <c r="L5" s="385"/>
      <c r="M5" s="385"/>
      <c r="N5" s="385"/>
      <c r="O5" s="70"/>
    </row>
    <row r="6" spans="1:24">
      <c r="A6" s="8" t="s">
        <v>13</v>
      </c>
      <c r="B6" s="5">
        <v>14</v>
      </c>
      <c r="C6" s="14">
        <f>INT(($B$6-10)/2)</f>
        <v>2</v>
      </c>
      <c r="D6" s="22">
        <f t="shared" ref="D6:D10" si="0">INT($B$3/2)+$C6</f>
        <v>10</v>
      </c>
      <c r="F6" s="45" t="s">
        <v>22</v>
      </c>
      <c r="G6" s="6" t="s">
        <v>23</v>
      </c>
      <c r="H6" s="6" t="s">
        <v>24</v>
      </c>
      <c r="I6" s="6" t="s">
        <v>25</v>
      </c>
      <c r="J6" s="6" t="s">
        <v>26</v>
      </c>
      <c r="K6" s="6" t="s">
        <v>27</v>
      </c>
      <c r="L6" s="6" t="s">
        <v>84</v>
      </c>
      <c r="M6" s="6" t="s">
        <v>28</v>
      </c>
      <c r="N6" s="322" t="s">
        <v>29</v>
      </c>
      <c r="O6" s="309" t="s">
        <v>430</v>
      </c>
      <c r="P6" s="173"/>
      <c r="Q6" s="322" t="s">
        <v>431</v>
      </c>
      <c r="R6" s="309" t="s">
        <v>432</v>
      </c>
      <c r="S6" s="309" t="s">
        <v>435</v>
      </c>
      <c r="T6" s="309" t="s">
        <v>436</v>
      </c>
      <c r="U6" s="309" t="s">
        <v>411</v>
      </c>
      <c r="V6" s="309" t="s">
        <v>433</v>
      </c>
      <c r="W6" s="309" t="s">
        <v>380</v>
      </c>
      <c r="X6" s="309" t="s">
        <v>380</v>
      </c>
    </row>
    <row r="7" spans="1:24">
      <c r="A7" s="8" t="s">
        <v>14</v>
      </c>
      <c r="B7" s="5">
        <v>21</v>
      </c>
      <c r="C7" s="14">
        <f>INT(($B$7-10)/2)</f>
        <v>5</v>
      </c>
      <c r="D7" s="22">
        <f t="shared" si="0"/>
        <v>13</v>
      </c>
      <c r="F7" s="149" t="s">
        <v>134</v>
      </c>
      <c r="G7" s="2">
        <f>I7+P7</f>
        <v>0</v>
      </c>
      <c r="H7" s="16" t="s">
        <v>12</v>
      </c>
      <c r="I7" s="18">
        <f>IF($H7 = "筋力",基本!$C$5,IF($H7 = "耐久力",基本!$C$6,IF($H7 = "敏捷力",基本!$C$7,IF($H7 = "知力",基本!$C$8,IF($H7 = "判断力",基本!$C$9,IF($H7 = "魅力",基本!$C$10,""))))))</f>
        <v>0</v>
      </c>
      <c r="J7" s="22">
        <f>INT($B$3/2)</f>
        <v>8</v>
      </c>
      <c r="K7" s="5">
        <v>3</v>
      </c>
      <c r="L7" s="5">
        <v>0</v>
      </c>
      <c r="M7" s="5">
        <v>3</v>
      </c>
      <c r="N7" s="308">
        <f>Q7</f>
        <v>0</v>
      </c>
      <c r="O7" s="308">
        <f>SUM(J7:N7)</f>
        <v>14</v>
      </c>
      <c r="P7" s="173"/>
      <c r="Q7" s="308">
        <f>SUM(R7:X7)</f>
        <v>0</v>
      </c>
      <c r="R7" s="310">
        <v>0</v>
      </c>
      <c r="S7" s="310">
        <v>0</v>
      </c>
      <c r="T7" s="310">
        <v>0</v>
      </c>
      <c r="U7" s="310">
        <v>0</v>
      </c>
      <c r="V7" s="310">
        <v>0</v>
      </c>
      <c r="W7" s="310">
        <v>0</v>
      </c>
      <c r="X7" s="310">
        <v>0</v>
      </c>
    </row>
    <row r="8" spans="1:24">
      <c r="A8" s="8" t="s">
        <v>15</v>
      </c>
      <c r="B8" s="5">
        <v>11</v>
      </c>
      <c r="C8" s="14">
        <f>INT(($B$8-10)/2)</f>
        <v>0</v>
      </c>
      <c r="D8" s="22">
        <f t="shared" si="0"/>
        <v>8</v>
      </c>
      <c r="F8" s="381" t="s">
        <v>33</v>
      </c>
      <c r="G8" s="382"/>
      <c r="H8" s="383"/>
      <c r="I8" s="178" t="s">
        <v>34</v>
      </c>
      <c r="J8" s="6" t="s">
        <v>24</v>
      </c>
      <c r="K8" s="6" t="s">
        <v>25</v>
      </c>
      <c r="L8" s="17" t="s">
        <v>84</v>
      </c>
      <c r="M8" s="6" t="s">
        <v>28</v>
      </c>
      <c r="N8" s="322" t="s">
        <v>29</v>
      </c>
      <c r="O8" s="309" t="s">
        <v>430</v>
      </c>
      <c r="P8" s="173"/>
      <c r="Q8" s="322" t="s">
        <v>434</v>
      </c>
      <c r="R8" s="309" t="s">
        <v>432</v>
      </c>
      <c r="S8" s="309" t="s">
        <v>435</v>
      </c>
      <c r="T8" s="309" t="s">
        <v>436</v>
      </c>
      <c r="U8" s="309" t="s">
        <v>411</v>
      </c>
      <c r="V8" s="309" t="s">
        <v>433</v>
      </c>
      <c r="W8" s="309" t="s">
        <v>380</v>
      </c>
      <c r="X8" s="309" t="s">
        <v>380</v>
      </c>
    </row>
    <row r="9" spans="1:24">
      <c r="A9" s="8" t="s">
        <v>16</v>
      </c>
      <c r="B9" s="5">
        <v>9</v>
      </c>
      <c r="C9" s="14">
        <f>INT(($B$9-10)/2)</f>
        <v>-1</v>
      </c>
      <c r="D9" s="22">
        <f t="shared" si="0"/>
        <v>7</v>
      </c>
      <c r="F9" s="190">
        <v>1</v>
      </c>
      <c r="G9" s="176" t="s">
        <v>45</v>
      </c>
      <c r="H9" s="188">
        <v>4</v>
      </c>
      <c r="I9" s="187">
        <f>K9+O9</f>
        <v>3</v>
      </c>
      <c r="J9" s="42" t="s">
        <v>12</v>
      </c>
      <c r="K9" s="18">
        <f>IF($J9 = "筋力",基本!$C$5,IF($J9 = "耐久力",基本!$C$6,IF($J9 = "敏捷力",基本!$C$7,IF($J9 = "知力",基本!$C$8,IF($J9 = "判断力",基本!$C$9,IF($J9 = "魅力",基本!$C$10,""))))))</f>
        <v>0</v>
      </c>
      <c r="L9" s="5">
        <v>0</v>
      </c>
      <c r="M9" s="5">
        <v>3</v>
      </c>
      <c r="N9" s="308">
        <f>Q9</f>
        <v>0</v>
      </c>
      <c r="O9" s="308">
        <f>SUM(L9:N9)</f>
        <v>3</v>
      </c>
      <c r="P9" s="173"/>
      <c r="Q9" s="308">
        <f>SUM(R9:X9)</f>
        <v>0</v>
      </c>
      <c r="R9" s="310">
        <v>0</v>
      </c>
      <c r="S9" s="310">
        <v>0</v>
      </c>
      <c r="T9" s="310">
        <v>0</v>
      </c>
      <c r="U9" s="310">
        <v>0</v>
      </c>
      <c r="V9" s="310">
        <v>0</v>
      </c>
      <c r="W9" s="310">
        <v>0</v>
      </c>
      <c r="X9" s="310">
        <v>0</v>
      </c>
    </row>
    <row r="10" spans="1:24">
      <c r="A10" s="8" t="s">
        <v>17</v>
      </c>
      <c r="B10" s="5">
        <v>23</v>
      </c>
      <c r="C10" s="14">
        <f>INT(($B$10-10)/2)</f>
        <v>6</v>
      </c>
      <c r="D10" s="22">
        <f t="shared" si="0"/>
        <v>14</v>
      </c>
      <c r="F10" s="389" t="s">
        <v>35</v>
      </c>
      <c r="G10" s="389"/>
      <c r="H10" s="389" t="s">
        <v>36</v>
      </c>
      <c r="I10" s="389"/>
      <c r="J10" s="389"/>
      <c r="K10" s="389"/>
      <c r="L10" s="389" t="s">
        <v>186</v>
      </c>
      <c r="M10" s="389"/>
      <c r="N10" s="389"/>
      <c r="O10"/>
    </row>
    <row r="11" spans="1:24">
      <c r="A11" s="46"/>
      <c r="B11" s="46"/>
      <c r="C11" s="46"/>
      <c r="D11" s="46"/>
      <c r="F11" s="390" t="s">
        <v>18</v>
      </c>
      <c r="G11" s="386"/>
      <c r="H11" s="390"/>
      <c r="I11" s="386"/>
      <c r="J11" s="386"/>
      <c r="K11" s="386"/>
      <c r="L11" s="5">
        <v>3</v>
      </c>
      <c r="M11" s="4" t="s">
        <v>64</v>
      </c>
      <c r="N11" s="139">
        <v>6</v>
      </c>
      <c r="O11"/>
    </row>
    <row r="12" spans="1:24" ht="14.25" thickBot="1">
      <c r="A12" s="66" t="s">
        <v>87</v>
      </c>
      <c r="B12" s="29" t="s">
        <v>94</v>
      </c>
      <c r="C12" s="29" t="s">
        <v>95</v>
      </c>
      <c r="D12" s="66" t="s">
        <v>109</v>
      </c>
      <c r="F12" s="1"/>
      <c r="G12" s="1"/>
      <c r="H12" s="1"/>
      <c r="I12" s="1"/>
      <c r="J12" s="1"/>
      <c r="K12" s="1"/>
      <c r="L12" s="1"/>
      <c r="M12" s="1"/>
      <c r="N12" s="1"/>
      <c r="O12" s="27"/>
    </row>
    <row r="13" spans="1:24" ht="14.25" thickBot="1">
      <c r="A13" s="41">
        <f>$E$2+$B$6+($F$2*($B$3-1))</f>
        <v>106</v>
      </c>
      <c r="B13" s="32">
        <f>INT($A$13/2)</f>
        <v>53</v>
      </c>
      <c r="C13" s="32">
        <f>INT($A$13/4)</f>
        <v>26</v>
      </c>
      <c r="D13" s="32">
        <f>H2+C6</f>
        <v>8</v>
      </c>
      <c r="F13" s="387" t="s">
        <v>96</v>
      </c>
      <c r="G13" s="388"/>
      <c r="H13" s="1"/>
      <c r="I13" s="1"/>
      <c r="J13" s="1"/>
      <c r="K13" s="1"/>
      <c r="L13" s="1"/>
      <c r="M13" s="1"/>
      <c r="N13" s="1"/>
      <c r="O13" s="27"/>
    </row>
    <row r="14" spans="1:24">
      <c r="F14" s="384" t="s">
        <v>187</v>
      </c>
      <c r="G14" s="384"/>
      <c r="H14" s="385"/>
      <c r="I14" s="385"/>
      <c r="J14" s="385"/>
      <c r="K14" s="385"/>
      <c r="L14" s="385"/>
      <c r="M14" s="385"/>
      <c r="N14" s="385"/>
      <c r="O14" s="70"/>
    </row>
    <row r="15" spans="1:24">
      <c r="A15" s="66" t="s">
        <v>93</v>
      </c>
      <c r="B15" s="28">
        <v>6</v>
      </c>
      <c r="F15" s="6" t="s">
        <v>22</v>
      </c>
      <c r="G15" s="6" t="s">
        <v>23</v>
      </c>
      <c r="H15" s="6" t="s">
        <v>24</v>
      </c>
      <c r="I15" s="6" t="s">
        <v>25</v>
      </c>
      <c r="J15" s="6" t="s">
        <v>26</v>
      </c>
      <c r="K15" s="6" t="s">
        <v>27</v>
      </c>
      <c r="L15" s="17" t="s">
        <v>84</v>
      </c>
      <c r="M15" s="6" t="s">
        <v>28</v>
      </c>
      <c r="N15" s="322" t="s">
        <v>29</v>
      </c>
      <c r="O15" s="309" t="s">
        <v>430</v>
      </c>
      <c r="P15" s="173"/>
      <c r="Q15" s="322" t="s">
        <v>431</v>
      </c>
      <c r="R15" s="309" t="s">
        <v>432</v>
      </c>
      <c r="S15" s="309" t="s">
        <v>435</v>
      </c>
      <c r="T15" s="309" t="s">
        <v>436</v>
      </c>
      <c r="U15" s="309" t="s">
        <v>411</v>
      </c>
      <c r="V15" s="309" t="s">
        <v>433</v>
      </c>
      <c r="W15" s="309" t="s">
        <v>380</v>
      </c>
      <c r="X15" s="309" t="s">
        <v>380</v>
      </c>
    </row>
    <row r="16" spans="1:24">
      <c r="A16" s="66" t="s">
        <v>92</v>
      </c>
      <c r="B16" s="21">
        <v>26</v>
      </c>
      <c r="F16" s="67" t="s">
        <v>134</v>
      </c>
      <c r="G16" s="65">
        <f>I16+P16</f>
        <v>5</v>
      </c>
      <c r="H16" s="16" t="s">
        <v>14</v>
      </c>
      <c r="I16" s="18">
        <f>IF($H16 = "筋力",基本!$C$5,IF($H16 = "耐久力",基本!$C$6,IF($H16 = "敏捷力",基本!$C$7,IF($H16 = "知力",基本!$C$8,IF($H16 = "判断力",基本!$C$9,IF($H16 = "魅力",基本!$C$10,""))))))</f>
        <v>5</v>
      </c>
      <c r="J16" s="2">
        <f>INT($B$3/2)</f>
        <v>8</v>
      </c>
      <c r="K16" s="5">
        <v>3</v>
      </c>
      <c r="L16" s="5">
        <v>0</v>
      </c>
      <c r="M16" s="5">
        <v>3</v>
      </c>
      <c r="N16" s="308">
        <f>Q16</f>
        <v>1</v>
      </c>
      <c r="O16" s="308">
        <f>SUM(J16:N16)</f>
        <v>15</v>
      </c>
      <c r="P16" s="173"/>
      <c r="Q16" s="308">
        <f>SUM(R16:X16)</f>
        <v>1</v>
      </c>
      <c r="R16" s="310">
        <v>1</v>
      </c>
      <c r="S16" s="310">
        <v>0</v>
      </c>
      <c r="T16" s="310">
        <v>0</v>
      </c>
      <c r="U16" s="310">
        <v>0</v>
      </c>
      <c r="V16" s="310">
        <v>0</v>
      </c>
      <c r="W16" s="310">
        <v>0</v>
      </c>
      <c r="X16" s="310">
        <v>0</v>
      </c>
    </row>
    <row r="17" spans="1:24">
      <c r="A17" s="66" t="s">
        <v>19</v>
      </c>
      <c r="B17" s="21">
        <v>23</v>
      </c>
      <c r="F17" s="381" t="s">
        <v>191</v>
      </c>
      <c r="G17" s="382"/>
      <c r="H17" s="383"/>
      <c r="I17" s="178" t="s">
        <v>34</v>
      </c>
      <c r="J17" s="6" t="s">
        <v>24</v>
      </c>
      <c r="K17" s="6" t="s">
        <v>25</v>
      </c>
      <c r="L17" s="17" t="s">
        <v>84</v>
      </c>
      <c r="M17" s="6" t="s">
        <v>28</v>
      </c>
      <c r="N17" s="322" t="s">
        <v>29</v>
      </c>
      <c r="O17" s="309" t="s">
        <v>430</v>
      </c>
      <c r="P17" s="173"/>
      <c r="Q17" s="322" t="s">
        <v>434</v>
      </c>
      <c r="R17" s="309" t="s">
        <v>432</v>
      </c>
      <c r="S17" s="309" t="s">
        <v>435</v>
      </c>
      <c r="T17" s="309" t="s">
        <v>436</v>
      </c>
      <c r="U17" s="309" t="s">
        <v>411</v>
      </c>
      <c r="V17" s="309" t="s">
        <v>433</v>
      </c>
      <c r="W17" s="309" t="s">
        <v>380</v>
      </c>
      <c r="X17" s="309" t="s">
        <v>380</v>
      </c>
    </row>
    <row r="18" spans="1:24">
      <c r="A18" s="66" t="s">
        <v>20</v>
      </c>
      <c r="B18" s="21">
        <v>26</v>
      </c>
      <c r="F18" s="189">
        <v>1</v>
      </c>
      <c r="G18" s="176" t="s">
        <v>45</v>
      </c>
      <c r="H18" s="188">
        <v>4</v>
      </c>
      <c r="I18" s="187">
        <f>K18+O18</f>
        <v>10</v>
      </c>
      <c r="J18" s="16" t="s">
        <v>14</v>
      </c>
      <c r="K18" s="18">
        <f>IF($J18 = "筋力",基本!$C$5,IF($J18 = "耐久力",基本!$C$6,IF($J18 = "敏捷力",基本!$C$7,IF($J18 = "知力",基本!$C$8,IF($J18 = "判断力",基本!$C$9,IF($J18 = "魅力",基本!$C$10,""))))))</f>
        <v>5</v>
      </c>
      <c r="L18" s="5">
        <v>0</v>
      </c>
      <c r="M18" s="5">
        <v>3</v>
      </c>
      <c r="N18" s="308">
        <f>Q18</f>
        <v>2</v>
      </c>
      <c r="O18" s="308">
        <f>SUM(L18:N18)</f>
        <v>5</v>
      </c>
      <c r="P18" s="173"/>
      <c r="Q18" s="308">
        <f>SUM(R18:X18)</f>
        <v>2</v>
      </c>
      <c r="R18" s="310">
        <v>2</v>
      </c>
      <c r="S18" s="310">
        <v>0</v>
      </c>
      <c r="T18" s="310">
        <v>0</v>
      </c>
      <c r="U18" s="310">
        <v>0</v>
      </c>
      <c r="V18" s="310">
        <v>0</v>
      </c>
      <c r="W18" s="310">
        <v>0</v>
      </c>
      <c r="X18" s="310">
        <v>0</v>
      </c>
    </row>
    <row r="19" spans="1:24">
      <c r="A19" s="66" t="s">
        <v>21</v>
      </c>
      <c r="B19" s="21">
        <v>32</v>
      </c>
      <c r="F19" s="389" t="s">
        <v>35</v>
      </c>
      <c r="G19" s="389"/>
      <c r="H19" s="389" t="s">
        <v>36</v>
      </c>
      <c r="I19" s="389"/>
      <c r="J19" s="389"/>
      <c r="K19" s="389"/>
      <c r="L19" s="389" t="s">
        <v>37</v>
      </c>
      <c r="M19" s="389"/>
      <c r="N19" s="389"/>
    </row>
    <row r="20" spans="1:24">
      <c r="F20" s="386" t="s">
        <v>18</v>
      </c>
      <c r="G20" s="386"/>
      <c r="H20" s="396"/>
      <c r="I20" s="386"/>
      <c r="J20" s="386"/>
      <c r="K20" s="386"/>
      <c r="L20" s="5">
        <v>3</v>
      </c>
      <c r="M20" s="4" t="s">
        <v>45</v>
      </c>
      <c r="N20" s="5">
        <v>6</v>
      </c>
    </row>
    <row r="21" spans="1:24" ht="14.25" thickBot="1">
      <c r="A21" s="381" t="s">
        <v>129</v>
      </c>
      <c r="B21" s="382"/>
      <c r="C21" s="383"/>
      <c r="F21" s="1"/>
      <c r="G21" s="1"/>
      <c r="H21" s="1"/>
      <c r="I21" s="1"/>
      <c r="J21" s="1"/>
      <c r="K21" s="1"/>
      <c r="L21" s="1"/>
      <c r="M21" s="1"/>
      <c r="N21" s="1"/>
      <c r="O21" s="27"/>
    </row>
    <row r="22" spans="1:24" ht="14.25" thickBot="1">
      <c r="A22" s="394" t="s">
        <v>16</v>
      </c>
      <c r="B22" s="141" t="s">
        <v>10</v>
      </c>
      <c r="C22" s="141" t="s">
        <v>11</v>
      </c>
      <c r="D22" s="46"/>
      <c r="F22" s="387" t="s">
        <v>181</v>
      </c>
      <c r="G22" s="388"/>
      <c r="H22" s="1"/>
      <c r="I22" s="1"/>
      <c r="J22" s="1"/>
      <c r="K22" s="1"/>
      <c r="L22" s="1"/>
      <c r="M22" s="1"/>
      <c r="N22" s="1"/>
      <c r="O22" s="27"/>
    </row>
    <row r="23" spans="1:24">
      <c r="A23" s="395"/>
      <c r="B23" s="142">
        <v>16</v>
      </c>
      <c r="C23" s="32">
        <f>INT((B23-10)/2)</f>
        <v>3</v>
      </c>
      <c r="D23" s="46"/>
      <c r="F23" s="384" t="s">
        <v>594</v>
      </c>
      <c r="G23" s="384"/>
      <c r="H23" s="385"/>
      <c r="I23" s="385"/>
      <c r="J23" s="385"/>
      <c r="K23" s="385"/>
      <c r="L23" s="385"/>
      <c r="M23" s="385"/>
      <c r="N23" s="385"/>
      <c r="O23" s="70"/>
    </row>
    <row r="24" spans="1:24">
      <c r="B24" s="46"/>
      <c r="C24" s="46"/>
      <c r="D24" s="46"/>
      <c r="F24" s="6" t="s">
        <v>22</v>
      </c>
      <c r="G24" s="6" t="s">
        <v>23</v>
      </c>
      <c r="H24" s="6" t="s">
        <v>24</v>
      </c>
      <c r="I24" s="6" t="s">
        <v>25</v>
      </c>
      <c r="J24" s="6" t="s">
        <v>26</v>
      </c>
      <c r="K24" s="6" t="s">
        <v>27</v>
      </c>
      <c r="L24" s="17" t="s">
        <v>84</v>
      </c>
      <c r="M24" s="6" t="s">
        <v>28</v>
      </c>
      <c r="N24" s="322" t="s">
        <v>29</v>
      </c>
      <c r="O24" s="309" t="s">
        <v>430</v>
      </c>
      <c r="P24" s="173"/>
      <c r="Q24" s="322" t="s">
        <v>431</v>
      </c>
      <c r="R24" s="309" t="s">
        <v>432</v>
      </c>
      <c r="S24" s="309" t="s">
        <v>435</v>
      </c>
      <c r="T24" s="309" t="s">
        <v>436</v>
      </c>
      <c r="U24" s="309" t="s">
        <v>411</v>
      </c>
      <c r="V24" s="309" t="s">
        <v>433</v>
      </c>
      <c r="W24" s="309" t="s">
        <v>380</v>
      </c>
      <c r="X24" s="309" t="s">
        <v>380</v>
      </c>
    </row>
    <row r="25" spans="1:24">
      <c r="B25" s="46"/>
      <c r="C25" s="46"/>
      <c r="D25" s="46"/>
      <c r="F25" s="147" t="s">
        <v>65</v>
      </c>
      <c r="G25" s="65">
        <f>I25+P25</f>
        <v>6</v>
      </c>
      <c r="H25" s="16" t="s">
        <v>17</v>
      </c>
      <c r="I25" s="18">
        <f>IF($H25 = "筋力",基本!$C$5,IF($H25 = "耐久力",基本!$C$6,IF($H25 = "敏捷力",基本!$C$7,IF($H25 = "知力",基本!$C$8,IF($H25 = "判断力",基本!$C$9,IF($H25 = "魅力",基本!$C$10,""))))))</f>
        <v>6</v>
      </c>
      <c r="J25" s="2">
        <f>INT($B$3/2)</f>
        <v>8</v>
      </c>
      <c r="K25" s="5">
        <v>0</v>
      </c>
      <c r="L25" s="5">
        <v>2</v>
      </c>
      <c r="M25" s="5">
        <v>4</v>
      </c>
      <c r="N25" s="308">
        <f>Q25</f>
        <v>1</v>
      </c>
      <c r="O25" s="308">
        <f>SUM(J25:N25)</f>
        <v>15</v>
      </c>
      <c r="P25" s="173"/>
      <c r="Q25" s="308">
        <f>SUM(R25:X25)</f>
        <v>1</v>
      </c>
      <c r="R25" s="310">
        <v>1</v>
      </c>
      <c r="S25" s="310">
        <v>0</v>
      </c>
      <c r="T25" s="310">
        <v>0</v>
      </c>
      <c r="U25" s="310">
        <v>0</v>
      </c>
      <c r="V25" s="310">
        <v>0</v>
      </c>
      <c r="W25" s="310">
        <v>0</v>
      </c>
      <c r="X25" s="310">
        <v>0</v>
      </c>
    </row>
    <row r="26" spans="1:24">
      <c r="F26" s="381" t="s">
        <v>33</v>
      </c>
      <c r="G26" s="382"/>
      <c r="H26" s="383"/>
      <c r="I26" s="178" t="s">
        <v>34</v>
      </c>
      <c r="J26" s="6" t="s">
        <v>24</v>
      </c>
      <c r="K26" s="6" t="s">
        <v>25</v>
      </c>
      <c r="L26" s="17" t="s">
        <v>84</v>
      </c>
      <c r="M26" s="6" t="s">
        <v>28</v>
      </c>
      <c r="N26" s="322" t="s">
        <v>29</v>
      </c>
      <c r="O26" s="309" t="s">
        <v>430</v>
      </c>
      <c r="P26" s="173"/>
      <c r="Q26" s="322" t="s">
        <v>434</v>
      </c>
      <c r="R26" s="309" t="s">
        <v>432</v>
      </c>
      <c r="S26" s="309" t="s">
        <v>435</v>
      </c>
      <c r="T26" s="309" t="s">
        <v>436</v>
      </c>
      <c r="U26" s="309" t="s">
        <v>411</v>
      </c>
      <c r="V26" s="309" t="s">
        <v>433</v>
      </c>
      <c r="W26" s="309" t="s">
        <v>380</v>
      </c>
      <c r="X26" s="309" t="s">
        <v>380</v>
      </c>
    </row>
    <row r="27" spans="1:24">
      <c r="A27" s="19" t="s">
        <v>69</v>
      </c>
      <c r="B27" s="19" t="s">
        <v>67</v>
      </c>
      <c r="C27" s="19" t="s">
        <v>74</v>
      </c>
      <c r="D27" s="19" t="str">
        <f>IF($F$4="","",$F$4)</f>
        <v>近接基礎</v>
      </c>
      <c r="F27" s="189">
        <v>1</v>
      </c>
      <c r="G27" s="176" t="s">
        <v>45</v>
      </c>
      <c r="H27" s="188">
        <v>8</v>
      </c>
      <c r="I27" s="187">
        <f>K27+O27</f>
        <v>25</v>
      </c>
      <c r="J27" s="16" t="s">
        <v>17</v>
      </c>
      <c r="K27" s="18">
        <f>IF($J27 = "筋力",基本!$C$5,IF($J27 = "耐久力",基本!$C$6,IF($J27 = "敏捷力",基本!$C$7,IF($J27 = "知力",基本!$C$8,IF($J27 = "判断力",基本!$C$9,IF($J27 = "魅力",基本!$C$10,""))))))</f>
        <v>6</v>
      </c>
      <c r="L27" s="42">
        <v>2</v>
      </c>
      <c r="M27" s="42">
        <v>7</v>
      </c>
      <c r="N27" s="308">
        <f>Q27</f>
        <v>10</v>
      </c>
      <c r="O27" s="308">
        <f>SUM(L27:N27)</f>
        <v>19</v>
      </c>
      <c r="P27" s="173"/>
      <c r="Q27" s="308">
        <f>SUM(R27:X27)</f>
        <v>10</v>
      </c>
      <c r="R27" s="310">
        <v>2</v>
      </c>
      <c r="S27" s="308">
        <f>$J$2+$C$7</f>
        <v>7</v>
      </c>
      <c r="T27" s="310">
        <v>0</v>
      </c>
      <c r="U27" s="310">
        <v>0</v>
      </c>
      <c r="V27" s="310">
        <v>0</v>
      </c>
      <c r="W27" s="310">
        <v>0</v>
      </c>
      <c r="X27" s="310">
        <v>1</v>
      </c>
    </row>
    <row r="28" spans="1:24">
      <c r="A28" s="19" t="s">
        <v>70</v>
      </c>
      <c r="B28" s="19" t="s">
        <v>72</v>
      </c>
      <c r="C28" s="19" t="s">
        <v>75</v>
      </c>
      <c r="D28" s="19" t="str">
        <f>IF($F$13="","",$F$13)</f>
        <v>遠隔基礎</v>
      </c>
      <c r="F28" s="389" t="s">
        <v>35</v>
      </c>
      <c r="G28" s="389"/>
      <c r="H28" s="389" t="s">
        <v>36</v>
      </c>
      <c r="I28" s="389"/>
      <c r="J28" s="389"/>
      <c r="K28" s="389"/>
      <c r="L28" s="389" t="s">
        <v>37</v>
      </c>
      <c r="M28" s="389"/>
      <c r="N28" s="389"/>
    </row>
    <row r="29" spans="1:24">
      <c r="A29" s="19" t="s">
        <v>71</v>
      </c>
      <c r="B29" s="19" t="s">
        <v>73</v>
      </c>
      <c r="C29" s="19" t="s">
        <v>76</v>
      </c>
      <c r="D29" s="19" t="str">
        <f>IF($F$22="","",$F$22)</f>
        <v>秘術遠隔基礎１</v>
      </c>
      <c r="F29" s="386" t="s">
        <v>19</v>
      </c>
      <c r="G29" s="386"/>
      <c r="H29" s="386"/>
      <c r="I29" s="386"/>
      <c r="J29" s="386"/>
      <c r="K29" s="386"/>
      <c r="L29" s="5">
        <v>4</v>
      </c>
      <c r="M29" s="4" t="s">
        <v>45</v>
      </c>
      <c r="N29" s="139">
        <v>6</v>
      </c>
    </row>
    <row r="30" spans="1:24" ht="14.25" thickBot="1">
      <c r="A30" s="19" t="s">
        <v>83</v>
      </c>
      <c r="B30" s="19" t="s">
        <v>99</v>
      </c>
      <c r="C30" s="19" t="s">
        <v>77</v>
      </c>
      <c r="D30" s="19" t="str">
        <f>IF($F$31="","",$F$31)</f>
        <v>雷鳴秘術パワー</v>
      </c>
    </row>
    <row r="31" spans="1:24" ht="14.25" thickBot="1">
      <c r="A31" s="19" t="s">
        <v>98</v>
      </c>
      <c r="B31" s="19"/>
      <c r="C31" s="19" t="s">
        <v>78</v>
      </c>
      <c r="D31" s="19" t="str">
        <f>IF($F$40="","",$F$40)</f>
        <v>秘術パワー</v>
      </c>
      <c r="F31" s="387" t="s">
        <v>437</v>
      </c>
      <c r="G31" s="388"/>
      <c r="H31" s="91"/>
      <c r="I31" s="91"/>
      <c r="J31" s="91"/>
      <c r="K31" s="91"/>
      <c r="L31" s="91"/>
      <c r="M31" s="91"/>
      <c r="N31" s="91"/>
      <c r="O31" s="91"/>
      <c r="P31" s="173"/>
      <c r="Q31" s="173"/>
      <c r="R31" s="173"/>
      <c r="S31" s="173"/>
      <c r="T31" s="173"/>
      <c r="U31" s="173"/>
      <c r="V31" s="173"/>
      <c r="W31" s="173"/>
      <c r="X31" s="173"/>
    </row>
    <row r="32" spans="1:24">
      <c r="A32" s="19" t="s">
        <v>102</v>
      </c>
      <c r="C32" s="19" t="s">
        <v>79</v>
      </c>
      <c r="F32" s="384" t="s">
        <v>588</v>
      </c>
      <c r="G32" s="384"/>
      <c r="H32" s="385"/>
      <c r="I32" s="385"/>
      <c r="J32" s="385"/>
      <c r="K32" s="385"/>
      <c r="L32" s="385"/>
      <c r="M32" s="385"/>
      <c r="N32" s="385"/>
      <c r="O32" s="70"/>
      <c r="P32" s="173"/>
      <c r="Q32" s="173"/>
      <c r="R32" s="173"/>
      <c r="S32" s="173"/>
      <c r="T32" s="173"/>
      <c r="U32" s="173"/>
      <c r="V32" s="173"/>
      <c r="W32" s="173"/>
      <c r="X32" s="173"/>
    </row>
    <row r="33" spans="1:24">
      <c r="A33" s="19"/>
      <c r="C33" s="19" t="s">
        <v>68</v>
      </c>
      <c r="F33" s="309" t="s">
        <v>22</v>
      </c>
      <c r="G33" s="309" t="s">
        <v>23</v>
      </c>
      <c r="H33" s="309" t="s">
        <v>24</v>
      </c>
      <c r="I33" s="309" t="s">
        <v>25</v>
      </c>
      <c r="J33" s="309" t="s">
        <v>26</v>
      </c>
      <c r="K33" s="309" t="s">
        <v>27</v>
      </c>
      <c r="L33" s="309" t="s">
        <v>84</v>
      </c>
      <c r="M33" s="309" t="s">
        <v>28</v>
      </c>
      <c r="N33" s="322" t="s">
        <v>29</v>
      </c>
      <c r="O33" s="309" t="s">
        <v>430</v>
      </c>
      <c r="P33" s="173"/>
      <c r="Q33" s="322" t="s">
        <v>431</v>
      </c>
      <c r="R33" s="309" t="s">
        <v>432</v>
      </c>
      <c r="S33" s="309" t="s">
        <v>435</v>
      </c>
      <c r="T33" s="309" t="s">
        <v>436</v>
      </c>
      <c r="U33" s="309" t="s">
        <v>411</v>
      </c>
      <c r="V33" s="309" t="s">
        <v>433</v>
      </c>
      <c r="W33" s="309" t="s">
        <v>380</v>
      </c>
      <c r="X33" s="309" t="s">
        <v>380</v>
      </c>
    </row>
    <row r="34" spans="1:24">
      <c r="C34" s="19" t="s">
        <v>80</v>
      </c>
      <c r="F34" s="310" t="s">
        <v>65</v>
      </c>
      <c r="G34" s="308">
        <f>I34+P34</f>
        <v>6</v>
      </c>
      <c r="H34" s="310" t="s">
        <v>17</v>
      </c>
      <c r="I34" s="308">
        <f>IF($H34 = "筋力",基本!$C$5,IF($H34 = "耐久力",基本!$C$6,IF($H34 = "敏捷力",基本!$C$7,IF($H34 = "知力",基本!$C$8,IF($H34 = "判断力",基本!$C$9,IF($H34 = "魅力",基本!$C$10,""))))))</f>
        <v>6</v>
      </c>
      <c r="J34" s="308">
        <f>INT($B$3/2)</f>
        <v>8</v>
      </c>
      <c r="K34" s="310">
        <v>0</v>
      </c>
      <c r="L34" s="310">
        <v>2</v>
      </c>
      <c r="M34" s="310">
        <v>4</v>
      </c>
      <c r="N34" s="308">
        <f>Q34</f>
        <v>0</v>
      </c>
      <c r="O34" s="308">
        <f>SUM(J34:N34)</f>
        <v>14</v>
      </c>
      <c r="P34" s="173"/>
      <c r="Q34" s="308">
        <f>SUM(R34:X34)</f>
        <v>0</v>
      </c>
      <c r="R34" s="310">
        <v>0</v>
      </c>
      <c r="S34" s="310">
        <v>0</v>
      </c>
      <c r="T34" s="310">
        <v>0</v>
      </c>
      <c r="U34" s="310">
        <v>0</v>
      </c>
      <c r="V34" s="310">
        <v>0</v>
      </c>
      <c r="W34" s="310">
        <v>0</v>
      </c>
      <c r="X34" s="310">
        <v>0</v>
      </c>
    </row>
    <row r="35" spans="1:24">
      <c r="C35" s="19" t="s">
        <v>81</v>
      </c>
      <c r="F35" s="381" t="s">
        <v>4</v>
      </c>
      <c r="G35" s="382"/>
      <c r="H35" s="383"/>
      <c r="I35" s="307" t="s">
        <v>34</v>
      </c>
      <c r="J35" s="309" t="s">
        <v>24</v>
      </c>
      <c r="K35" s="309" t="s">
        <v>25</v>
      </c>
      <c r="L35" s="309" t="s">
        <v>84</v>
      </c>
      <c r="M35" s="309" t="s">
        <v>28</v>
      </c>
      <c r="N35" s="322" t="s">
        <v>29</v>
      </c>
      <c r="O35" s="309" t="s">
        <v>430</v>
      </c>
      <c r="P35" s="173"/>
      <c r="Q35" s="322" t="s">
        <v>434</v>
      </c>
      <c r="R35" s="309" t="s">
        <v>432</v>
      </c>
      <c r="S35" s="309" t="s">
        <v>435</v>
      </c>
      <c r="T35" s="309" t="s">
        <v>436</v>
      </c>
      <c r="U35" s="328" t="s">
        <v>513</v>
      </c>
      <c r="V35" s="309" t="s">
        <v>433</v>
      </c>
      <c r="W35" s="309" t="s">
        <v>438</v>
      </c>
      <c r="X35" s="309" t="s">
        <v>380</v>
      </c>
    </row>
    <row r="36" spans="1:24">
      <c r="C36" s="19" t="s">
        <v>82</v>
      </c>
      <c r="F36" s="189"/>
      <c r="G36" s="308" t="s">
        <v>45</v>
      </c>
      <c r="H36" s="188"/>
      <c r="I36" s="187">
        <f>K36+O36</f>
        <v>30</v>
      </c>
      <c r="J36" s="310" t="s">
        <v>17</v>
      </c>
      <c r="K36" s="308">
        <f>IF($J36 = "筋力",基本!$C$5,IF($J36 = "耐久力",基本!$C$6,IF($J36 = "敏捷力",基本!$C$7,IF($J36 = "知力",基本!$C$8,IF($J36 = "判断力",基本!$C$9,IF($J36 = "魅力",基本!$C$10,""))))))</f>
        <v>6</v>
      </c>
      <c r="L36" s="310">
        <v>2</v>
      </c>
      <c r="M36" s="310">
        <v>7</v>
      </c>
      <c r="N36" s="308">
        <f>Q36</f>
        <v>15</v>
      </c>
      <c r="O36" s="308">
        <f>SUM(L36:N36)</f>
        <v>24</v>
      </c>
      <c r="P36" s="173"/>
      <c r="Q36" s="308">
        <f>SUM(R36:X36)</f>
        <v>15</v>
      </c>
      <c r="R36" s="310">
        <v>0</v>
      </c>
      <c r="S36" s="308">
        <f>$J$2+$C$7</f>
        <v>7</v>
      </c>
      <c r="T36" s="310">
        <v>0</v>
      </c>
      <c r="U36" s="326">
        <f>$K$2</f>
        <v>2</v>
      </c>
      <c r="V36" s="310">
        <v>2</v>
      </c>
      <c r="W36" s="310">
        <v>3</v>
      </c>
      <c r="X36" s="310">
        <v>1</v>
      </c>
    </row>
    <row r="37" spans="1:24">
      <c r="C37" s="19"/>
      <c r="F37" s="381" t="s">
        <v>35</v>
      </c>
      <c r="G37" s="383"/>
      <c r="H37" s="381" t="s">
        <v>36</v>
      </c>
      <c r="I37" s="382"/>
      <c r="J37" s="382"/>
      <c r="K37" s="383"/>
      <c r="L37" s="381" t="s">
        <v>3</v>
      </c>
      <c r="M37" s="382"/>
      <c r="N37" s="383"/>
      <c r="O37" s="173"/>
      <c r="P37" s="173"/>
      <c r="Q37" s="173"/>
      <c r="R37" s="173"/>
      <c r="S37" s="173"/>
      <c r="T37" s="173"/>
      <c r="U37" s="173"/>
      <c r="V37" s="173"/>
      <c r="W37" s="173"/>
      <c r="X37" s="173"/>
    </row>
    <row r="38" spans="1:24">
      <c r="F38" s="386"/>
      <c r="G38" s="386"/>
      <c r="H38" s="386"/>
      <c r="I38" s="386"/>
      <c r="J38" s="386"/>
      <c r="K38" s="386"/>
      <c r="L38" s="310">
        <v>4</v>
      </c>
      <c r="M38" s="308" t="s">
        <v>45</v>
      </c>
      <c r="N38" s="310">
        <v>6</v>
      </c>
      <c r="O38" s="173"/>
      <c r="P38" s="173"/>
      <c r="Q38" s="173"/>
      <c r="R38" s="173"/>
      <c r="S38" s="173"/>
      <c r="T38" s="173"/>
      <c r="U38" s="173"/>
      <c r="V38" s="173"/>
      <c r="W38" s="173"/>
      <c r="X38" s="173"/>
    </row>
    <row r="39" spans="1:24" ht="14.25" thickBot="1"/>
    <row r="40" spans="1:24" ht="14.25" thickBot="1">
      <c r="F40" s="387" t="s">
        <v>135</v>
      </c>
      <c r="G40" s="388"/>
      <c r="H40" s="91"/>
      <c r="I40" s="91"/>
      <c r="J40" s="91"/>
      <c r="K40" s="91"/>
      <c r="L40" s="91"/>
      <c r="M40" s="91"/>
      <c r="N40" s="91"/>
      <c r="O40" s="91"/>
      <c r="P40" s="173"/>
      <c r="Q40" s="173"/>
      <c r="R40" s="173"/>
      <c r="S40" s="173"/>
      <c r="T40" s="173"/>
      <c r="U40" s="173"/>
      <c r="V40" s="173"/>
      <c r="W40" s="173"/>
      <c r="X40" s="173"/>
    </row>
    <row r="41" spans="1:24">
      <c r="F41" s="384" t="s">
        <v>588</v>
      </c>
      <c r="G41" s="384"/>
      <c r="H41" s="385"/>
      <c r="I41" s="385"/>
      <c r="J41" s="385"/>
      <c r="K41" s="385"/>
      <c r="L41" s="385"/>
      <c r="M41" s="385"/>
      <c r="N41" s="385"/>
      <c r="O41" s="70"/>
      <c r="P41" s="173"/>
      <c r="Q41" s="173"/>
      <c r="R41" s="173"/>
      <c r="S41" s="173"/>
      <c r="T41" s="173"/>
      <c r="U41" s="173"/>
      <c r="V41" s="173"/>
      <c r="W41" s="173"/>
      <c r="X41" s="173"/>
    </row>
    <row r="42" spans="1:24">
      <c r="F42" s="309" t="s">
        <v>22</v>
      </c>
      <c r="G42" s="309" t="s">
        <v>23</v>
      </c>
      <c r="H42" s="309" t="s">
        <v>24</v>
      </c>
      <c r="I42" s="309" t="s">
        <v>25</v>
      </c>
      <c r="J42" s="309" t="s">
        <v>26</v>
      </c>
      <c r="K42" s="309" t="s">
        <v>27</v>
      </c>
      <c r="L42" s="309" t="s">
        <v>84</v>
      </c>
      <c r="M42" s="309" t="s">
        <v>28</v>
      </c>
      <c r="N42" s="322" t="s">
        <v>29</v>
      </c>
      <c r="O42" s="309" t="s">
        <v>430</v>
      </c>
      <c r="P42" s="173"/>
      <c r="Q42" s="322" t="s">
        <v>431</v>
      </c>
      <c r="R42" s="309" t="s">
        <v>432</v>
      </c>
      <c r="S42" s="309" t="s">
        <v>435</v>
      </c>
      <c r="T42" s="309" t="s">
        <v>436</v>
      </c>
      <c r="U42" s="309" t="s">
        <v>411</v>
      </c>
      <c r="V42" s="309" t="s">
        <v>433</v>
      </c>
      <c r="W42" s="309" t="s">
        <v>380</v>
      </c>
      <c r="X42" s="309" t="s">
        <v>380</v>
      </c>
    </row>
    <row r="43" spans="1:24">
      <c r="F43" s="310" t="s">
        <v>65</v>
      </c>
      <c r="G43" s="308">
        <f>I43+P43</f>
        <v>6</v>
      </c>
      <c r="H43" s="310" t="s">
        <v>17</v>
      </c>
      <c r="I43" s="308">
        <f>IF($H43 = "筋力",基本!$C$5,IF($H43 = "耐久力",基本!$C$6,IF($H43 = "敏捷力",基本!$C$7,IF($H43 = "知力",基本!$C$8,IF($H43 = "判断力",基本!$C$9,IF($H43 = "魅力",基本!$C$10,""))))))</f>
        <v>6</v>
      </c>
      <c r="J43" s="308">
        <f>INT($B$3/2)</f>
        <v>8</v>
      </c>
      <c r="K43" s="310">
        <v>0</v>
      </c>
      <c r="L43" s="310">
        <v>2</v>
      </c>
      <c r="M43" s="310">
        <v>4</v>
      </c>
      <c r="N43" s="308">
        <f>Q43</f>
        <v>0</v>
      </c>
      <c r="O43" s="308">
        <f>SUM(J43:N43)</f>
        <v>14</v>
      </c>
      <c r="P43" s="173"/>
      <c r="Q43" s="308">
        <f>SUM(R43:X43)</f>
        <v>0</v>
      </c>
      <c r="R43" s="310">
        <v>0</v>
      </c>
      <c r="S43" s="310">
        <v>0</v>
      </c>
      <c r="T43" s="310">
        <v>0</v>
      </c>
      <c r="U43" s="310">
        <v>0</v>
      </c>
      <c r="V43" s="310">
        <v>0</v>
      </c>
      <c r="W43" s="310">
        <v>0</v>
      </c>
      <c r="X43" s="310">
        <v>0</v>
      </c>
    </row>
    <row r="44" spans="1:24">
      <c r="F44" s="381" t="s">
        <v>4</v>
      </c>
      <c r="G44" s="382"/>
      <c r="H44" s="383"/>
      <c r="I44" s="307" t="s">
        <v>34</v>
      </c>
      <c r="J44" s="309" t="s">
        <v>24</v>
      </c>
      <c r="K44" s="309" t="s">
        <v>25</v>
      </c>
      <c r="L44" s="309" t="s">
        <v>84</v>
      </c>
      <c r="M44" s="309" t="s">
        <v>28</v>
      </c>
      <c r="N44" s="322" t="s">
        <v>29</v>
      </c>
      <c r="O44" s="309" t="s">
        <v>430</v>
      </c>
      <c r="P44" s="173"/>
      <c r="Q44" s="322" t="s">
        <v>434</v>
      </c>
      <c r="R44" s="309" t="s">
        <v>432</v>
      </c>
      <c r="S44" s="309" t="s">
        <v>435</v>
      </c>
      <c r="T44" s="309" t="s">
        <v>436</v>
      </c>
      <c r="U44" s="309" t="s">
        <v>411</v>
      </c>
      <c r="V44" s="309" t="s">
        <v>433</v>
      </c>
      <c r="W44" s="309" t="s">
        <v>380</v>
      </c>
      <c r="X44" s="309" t="s">
        <v>380</v>
      </c>
    </row>
    <row r="45" spans="1:24">
      <c r="F45" s="189"/>
      <c r="G45" s="308" t="s">
        <v>45</v>
      </c>
      <c r="H45" s="188"/>
      <c r="I45" s="187">
        <f>K45+O45</f>
        <v>23</v>
      </c>
      <c r="J45" s="310" t="s">
        <v>17</v>
      </c>
      <c r="K45" s="308">
        <f>IF($J45 = "筋力",基本!$C$5,IF($J45 = "耐久力",基本!$C$6,IF($J45 = "敏捷力",基本!$C$7,IF($J45 = "知力",基本!$C$8,IF($J45 = "判断力",基本!$C$9,IF($J45 = "魅力",基本!$C$10,""))))))</f>
        <v>6</v>
      </c>
      <c r="L45" s="310">
        <v>2</v>
      </c>
      <c r="M45" s="310">
        <v>7</v>
      </c>
      <c r="N45" s="308">
        <f>Q45</f>
        <v>8</v>
      </c>
      <c r="O45" s="308">
        <f>SUM(L45:N45)</f>
        <v>17</v>
      </c>
      <c r="P45" s="173"/>
      <c r="Q45" s="308">
        <f>SUM(R45:X45)</f>
        <v>8</v>
      </c>
      <c r="R45" s="310">
        <v>0</v>
      </c>
      <c r="S45" s="308">
        <f>$J$2+$C$7</f>
        <v>7</v>
      </c>
      <c r="T45" s="310">
        <v>0</v>
      </c>
      <c r="U45" s="310">
        <v>0</v>
      </c>
      <c r="V45" s="310">
        <v>0</v>
      </c>
      <c r="W45" s="310">
        <v>0</v>
      </c>
      <c r="X45" s="310">
        <v>1</v>
      </c>
    </row>
    <row r="46" spans="1:24">
      <c r="F46" s="389" t="s">
        <v>35</v>
      </c>
      <c r="G46" s="389"/>
      <c r="H46" s="389" t="s">
        <v>36</v>
      </c>
      <c r="I46" s="389"/>
      <c r="J46" s="389"/>
      <c r="K46" s="389"/>
      <c r="L46" s="389" t="s">
        <v>3</v>
      </c>
      <c r="M46" s="389"/>
      <c r="N46" s="389"/>
      <c r="O46" s="173"/>
      <c r="P46" s="173"/>
      <c r="Q46" s="173"/>
      <c r="R46" s="173"/>
      <c r="S46" s="173"/>
      <c r="T46" s="173"/>
      <c r="U46" s="173"/>
      <c r="V46" s="173"/>
      <c r="W46" s="173"/>
      <c r="X46" s="173"/>
    </row>
    <row r="47" spans="1:24">
      <c r="F47" s="386"/>
      <c r="G47" s="386"/>
      <c r="H47" s="386"/>
      <c r="I47" s="386"/>
      <c r="J47" s="386"/>
      <c r="K47" s="386"/>
      <c r="L47" s="310">
        <v>4</v>
      </c>
      <c r="M47" s="308" t="s">
        <v>45</v>
      </c>
      <c r="N47" s="310">
        <v>6</v>
      </c>
      <c r="O47" s="173"/>
      <c r="P47" s="173"/>
      <c r="Q47" s="173"/>
      <c r="R47" s="173"/>
      <c r="S47" s="173"/>
      <c r="T47" s="173"/>
      <c r="U47" s="173"/>
      <c r="V47" s="173"/>
      <c r="W47" s="173"/>
      <c r="X47" s="173"/>
    </row>
    <row r="48" spans="1:24">
      <c r="F48" s="173"/>
      <c r="G48" s="173"/>
      <c r="H48" s="173"/>
      <c r="I48" s="173"/>
      <c r="J48" s="173"/>
      <c r="K48" s="173"/>
      <c r="L48" s="173"/>
      <c r="M48" s="173"/>
      <c r="N48" s="173"/>
      <c r="O48" s="173"/>
      <c r="P48" s="173"/>
      <c r="Q48" s="173"/>
      <c r="R48" s="173"/>
      <c r="S48" s="173"/>
      <c r="T48" s="173"/>
      <c r="U48" s="173"/>
      <c r="V48" s="173"/>
      <c r="W48" s="173"/>
      <c r="X48" s="173"/>
    </row>
    <row r="50" spans="15:15">
      <c r="O50"/>
    </row>
    <row r="51" spans="15:15">
      <c r="O51"/>
    </row>
    <row r="52" spans="15:15">
      <c r="O52"/>
    </row>
    <row r="53" spans="15:15">
      <c r="O53"/>
    </row>
    <row r="54" spans="15:15">
      <c r="O54"/>
    </row>
    <row r="55" spans="15:15">
      <c r="O55"/>
    </row>
    <row r="56" spans="15:15">
      <c r="O56"/>
    </row>
    <row r="57" spans="15:15">
      <c r="O57"/>
    </row>
    <row r="58" spans="15:15">
      <c r="O58"/>
    </row>
  </sheetData>
  <mergeCells count="44">
    <mergeCell ref="A22:A23"/>
    <mergeCell ref="A21:C21"/>
    <mergeCell ref="H20:K20"/>
    <mergeCell ref="L10:N10"/>
    <mergeCell ref="F19:G19"/>
    <mergeCell ref="H19:K19"/>
    <mergeCell ref="L19:N19"/>
    <mergeCell ref="F14:N14"/>
    <mergeCell ref="F10:G10"/>
    <mergeCell ref="F11:G11"/>
    <mergeCell ref="H10:K10"/>
    <mergeCell ref="H11:K11"/>
    <mergeCell ref="F13:G13"/>
    <mergeCell ref="F8:H8"/>
    <mergeCell ref="B1:D1"/>
    <mergeCell ref="B2:D2"/>
    <mergeCell ref="F37:G37"/>
    <mergeCell ref="H37:K37"/>
    <mergeCell ref="F29:G29"/>
    <mergeCell ref="H29:K29"/>
    <mergeCell ref="F23:N23"/>
    <mergeCell ref="F28:G28"/>
    <mergeCell ref="H28:K28"/>
    <mergeCell ref="L28:N28"/>
    <mergeCell ref="F20:G20"/>
    <mergeCell ref="F17:H17"/>
    <mergeCell ref="F26:H26"/>
    <mergeCell ref="F35:H35"/>
    <mergeCell ref="F44:H44"/>
    <mergeCell ref="F32:N32"/>
    <mergeCell ref="F47:G47"/>
    <mergeCell ref="H47:K47"/>
    <mergeCell ref="F4:G4"/>
    <mergeCell ref="F41:N41"/>
    <mergeCell ref="F46:G46"/>
    <mergeCell ref="H46:K46"/>
    <mergeCell ref="L46:N46"/>
    <mergeCell ref="F22:G22"/>
    <mergeCell ref="F31:G31"/>
    <mergeCell ref="F40:G40"/>
    <mergeCell ref="F5:N5"/>
    <mergeCell ref="L37:N37"/>
    <mergeCell ref="F38:G38"/>
    <mergeCell ref="H38:K38"/>
  </mergeCells>
  <phoneticPr fontId="1"/>
  <dataValidations count="1">
    <dataValidation type="list" allowBlank="1" showInputMessage="1" showErrorMessage="1" sqref="H7 J36 H34 H43 J45 J27 H25 H16 J18 J9">
      <formula1>$A$5:$A$10</formula1>
    </dataValidation>
  </dataValidations>
  <pageMargins left="0.23622047244094491" right="0.23622047244094491" top="0.74803149606299213" bottom="0.74803149606299213" header="0.31496062992125984" footer="0.31496062992125984"/>
  <pageSetup paperSize="9" orientation="landscape" horizontalDpi="300" verticalDpi="300" r:id="rId1"/>
  <headerFooter>
    <oddHeader>&amp;Cイーライ</oddHead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7"/>
  <sheetViews>
    <sheetView zoomScaleNormal="100" workbookViewId="0">
      <selection activeCell="B2" sqref="B2:G2"/>
    </sheetView>
  </sheetViews>
  <sheetFormatPr defaultColWidth="9" defaultRowHeight="13.5"/>
  <cols>
    <col min="1" max="1" width="7.875" style="173" customWidth="1"/>
    <col min="2" max="2" width="8.5" style="173" customWidth="1"/>
    <col min="3" max="3" width="6.625" style="173" customWidth="1"/>
    <col min="4" max="4" width="15.75" style="17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3" width="7.875" style="173" customWidth="1"/>
    <col min="14" max="14" width="17.875" style="173" bestFit="1" customWidth="1"/>
    <col min="15" max="15" width="12.375" style="173" customWidth="1"/>
    <col min="16" max="16384" width="9" style="173"/>
  </cols>
  <sheetData>
    <row r="1" spans="1:12" ht="21">
      <c r="A1" s="93" t="s">
        <v>114</v>
      </c>
      <c r="B1" s="456">
        <v>16</v>
      </c>
      <c r="C1" s="457"/>
      <c r="D1" s="95" t="s">
        <v>40</v>
      </c>
      <c r="E1" s="94" t="s">
        <v>41</v>
      </c>
      <c r="F1" s="458"/>
      <c r="G1" s="459"/>
      <c r="H1" s="96" t="s">
        <v>55</v>
      </c>
    </row>
    <row r="2" spans="1:12" ht="24.75" customHeight="1">
      <c r="A2" s="95" t="s">
        <v>0</v>
      </c>
      <c r="B2" s="460" t="s">
        <v>541</v>
      </c>
      <c r="C2" s="460"/>
      <c r="D2" s="460"/>
      <c r="E2" s="460"/>
      <c r="F2" s="460"/>
      <c r="G2" s="460"/>
      <c r="H2" s="96" t="s">
        <v>56</v>
      </c>
    </row>
    <row r="3" spans="1:12" ht="19.5" customHeight="1">
      <c r="A3" s="102" t="s">
        <v>48</v>
      </c>
      <c r="B3" s="91"/>
      <c r="C3" s="91"/>
      <c r="D3" s="91"/>
      <c r="I3" s="96"/>
    </row>
    <row r="4" spans="1:12">
      <c r="A4" s="76" t="s">
        <v>46</v>
      </c>
      <c r="B4" s="439" t="s">
        <v>540</v>
      </c>
      <c r="C4" s="440"/>
      <c r="D4" s="440"/>
      <c r="E4" s="440"/>
      <c r="F4" s="440"/>
      <c r="G4" s="441"/>
      <c r="H4" s="381" t="s">
        <v>201</v>
      </c>
      <c r="I4" s="382"/>
      <c r="J4" s="382"/>
      <c r="K4" s="382"/>
      <c r="L4" s="383"/>
    </row>
    <row r="5" spans="1:12">
      <c r="A5" s="77" t="s">
        <v>539</v>
      </c>
      <c r="B5" s="439" t="s">
        <v>538</v>
      </c>
      <c r="C5" s="440"/>
      <c r="D5" s="440"/>
      <c r="E5" s="440"/>
      <c r="F5" s="440"/>
      <c r="G5" s="441"/>
      <c r="H5" s="330" t="s">
        <v>43</v>
      </c>
      <c r="I5" s="332" t="s">
        <v>70</v>
      </c>
      <c r="J5" s="332"/>
    </row>
    <row r="6" spans="1:12">
      <c r="A6" s="77" t="s">
        <v>537</v>
      </c>
      <c r="B6" s="439" t="s">
        <v>238</v>
      </c>
      <c r="C6" s="440"/>
      <c r="D6" s="441"/>
      <c r="E6" s="330" t="s">
        <v>43</v>
      </c>
      <c r="F6" s="159" t="str">
        <f>$I$5</f>
        <v>近接範囲</v>
      </c>
      <c r="G6" s="7"/>
      <c r="H6" s="330" t="s">
        <v>66</v>
      </c>
      <c r="I6" s="332" t="s">
        <v>67</v>
      </c>
      <c r="J6" s="332">
        <v>5</v>
      </c>
    </row>
    <row r="7" spans="1:12">
      <c r="A7" s="78" t="s">
        <v>6</v>
      </c>
      <c r="B7" s="631" t="s">
        <v>555</v>
      </c>
      <c r="C7" s="632"/>
      <c r="D7" s="633"/>
      <c r="E7" s="330" t="s">
        <v>66</v>
      </c>
      <c r="F7" s="159" t="str">
        <f>IF($I$6 = 0,"", $I$6)</f>
        <v>爆発</v>
      </c>
      <c r="G7" s="159">
        <f>IF($J$6 = 0,"", $J$6)</f>
        <v>5</v>
      </c>
      <c r="H7" s="330" t="s">
        <v>85</v>
      </c>
      <c r="I7" s="332"/>
      <c r="J7" s="96" t="s">
        <v>62</v>
      </c>
      <c r="L7" s="191" t="s">
        <v>193</v>
      </c>
    </row>
    <row r="8" spans="1:12">
      <c r="A8" s="79" t="s">
        <v>61</v>
      </c>
      <c r="B8" s="444" t="s">
        <v>536</v>
      </c>
      <c r="C8" s="445"/>
      <c r="D8" s="445"/>
      <c r="E8" s="445"/>
      <c r="F8" s="445"/>
      <c r="G8" s="446"/>
      <c r="H8" s="330" t="s">
        <v>51</v>
      </c>
      <c r="I8" s="332" t="s">
        <v>17</v>
      </c>
      <c r="J8" s="331">
        <f>IF($I$8 = "筋力",基本!$C$5,IF($I$8 = "耐久力",基本!$C$6,IF($I$8 = "敏捷力",基本!$C$7,IF($I$8 = "知力",基本!$C$8,IF($I$8 = "判断力",基本!$C$9,IF($I$8 = "魅力",基本!$C$10,""))))))</f>
        <v>6</v>
      </c>
      <c r="K8" s="332" t="s">
        <v>19</v>
      </c>
      <c r="L8" s="192">
        <f>$J$8+$L$9+$I$9</f>
        <v>6</v>
      </c>
    </row>
    <row r="9" spans="1:12" ht="14.25" customHeight="1">
      <c r="A9" s="80"/>
      <c r="B9" s="464"/>
      <c r="C9" s="368"/>
      <c r="D9" s="368"/>
      <c r="E9" s="368"/>
      <c r="F9" s="368"/>
      <c r="G9" s="465"/>
      <c r="H9" s="330" t="s">
        <v>58</v>
      </c>
      <c r="I9" s="332">
        <v>0</v>
      </c>
      <c r="J9" s="381" t="s">
        <v>53</v>
      </c>
      <c r="K9" s="383"/>
      <c r="L9" s="331">
        <f>IF($I$7=基本!$F$4,基本!$O$7,IF($I$7=基本!$F$13,基本!$O$16,IF($I$7=基本!$F$22,基本!$O$25,IF($I$7=基本!$F$31,基本!$O$34,IF($I$7=基本!$F$40,基本!$O$43,0)))))</f>
        <v>0</v>
      </c>
    </row>
    <row r="10" spans="1:12" ht="14.25" customHeight="1">
      <c r="A10" s="80"/>
      <c r="B10" s="481"/>
      <c r="C10" s="482"/>
      <c r="D10" s="482"/>
      <c r="E10" s="482"/>
      <c r="F10" s="482"/>
      <c r="G10" s="483"/>
      <c r="H10" s="329" t="s">
        <v>52</v>
      </c>
      <c r="I10" s="332" t="s">
        <v>17</v>
      </c>
      <c r="J10" s="100">
        <f>IF($I$10 = "筋力",基本!$C$5,IF($I$10 = "耐久力",基本!$C$6,IF($I$10 = "敏捷力",基本!$C$7,IF($I$10 = "知力",基本!$C$8,IF($I$10 = "判断力",基本!$C$9,IF($I$10 = "魅力",基本!$C$10,""))))))</f>
        <v>6</v>
      </c>
      <c r="L10" s="91"/>
    </row>
    <row r="11" spans="1:12" ht="26.25" customHeight="1">
      <c r="A11" s="80"/>
      <c r="B11" s="571" t="str">
        <f>"目標が目標自身のアクションとして "&amp;$L$15 &amp;" マス飛行"</f>
        <v>目標が目標自身のアクションとして 5 マス飛行</v>
      </c>
      <c r="C11" s="572"/>
      <c r="D11" s="572"/>
      <c r="E11" s="572"/>
      <c r="F11" s="572"/>
      <c r="G11" s="573"/>
      <c r="H11" s="330" t="s">
        <v>59</v>
      </c>
      <c r="I11" s="332">
        <v>0</v>
      </c>
      <c r="J11" s="381" t="s">
        <v>54</v>
      </c>
      <c r="K11" s="383"/>
      <c r="L11" s="331">
        <f>IF($I$7=基本!$F$4,基本!$O$9,IF($I$7=基本!$F$13,基本!$O$18,IF($I$7=基本!$F$22,基本!$O$27,IF($I$7=基本!$F$31,基本!$O$36,IF($I$7=基本!$F$40,基本!$O$45,0)))))</f>
        <v>0</v>
      </c>
    </row>
    <row r="12" spans="1:12" ht="6.75" customHeight="1">
      <c r="A12" s="80"/>
      <c r="B12" s="481"/>
      <c r="C12" s="482"/>
      <c r="D12" s="482"/>
      <c r="E12" s="482"/>
      <c r="F12" s="482"/>
      <c r="G12" s="483"/>
      <c r="H12" s="173"/>
      <c r="I12" s="173"/>
      <c r="J12" s="173"/>
      <c r="K12" s="173"/>
      <c r="L12" s="191" t="s">
        <v>193</v>
      </c>
    </row>
    <row r="13" spans="1:12" ht="6.75" customHeight="1">
      <c r="A13" s="80"/>
      <c r="B13" s="466"/>
      <c r="C13" s="359"/>
      <c r="D13" s="359"/>
      <c r="E13" s="359"/>
      <c r="F13" s="359"/>
      <c r="G13" s="467"/>
      <c r="H13" s="330" t="s">
        <v>86</v>
      </c>
      <c r="I13" s="332">
        <v>3</v>
      </c>
      <c r="J13" s="330" t="s">
        <v>44</v>
      </c>
      <c r="K13" s="332">
        <v>8</v>
      </c>
      <c r="L13" s="192">
        <f>$J$10+$L$11+$I$11</f>
        <v>6</v>
      </c>
    </row>
    <row r="14" spans="1:12" ht="6.75" customHeight="1">
      <c r="A14" s="109"/>
      <c r="B14" s="548"/>
      <c r="C14" s="549"/>
      <c r="D14" s="549"/>
      <c r="E14" s="549"/>
      <c r="F14" s="549"/>
      <c r="G14" s="550"/>
      <c r="H14" s="330" t="s">
        <v>50</v>
      </c>
      <c r="I14" s="32">
        <f>IF($I$7=基本!$F$4,基本!$L$11,IF($I$7=基本!$F$13,基本!$L$20,IF($I$7=基本!$F$22,基本!$L$29,IF($I$7=基本!$F$31,基本!$L$38,IF($I$7=基本!$F$40,基本!$L$47,0)))))</f>
        <v>0</v>
      </c>
      <c r="J14" s="330" t="s">
        <v>44</v>
      </c>
      <c r="K14" s="32">
        <f>IF($I$7=基本!$F$4,基本!$N$11,IF($I$7=基本!$F$13,基本!$N$20,IF($I$7=基本!$F$22,基本!$N$29,IF($I$7=基本!$F$31,基本!$N$38,IF($I$7=基本!$F$40,基本!$N$47,0)))))</f>
        <v>0</v>
      </c>
      <c r="L14" s="192">
        <f>$J$10+$L$11+$I$11+($I$13*$K$13)</f>
        <v>30</v>
      </c>
    </row>
    <row r="15" spans="1:12" ht="14.25" customHeight="1">
      <c r="A15" s="81"/>
      <c r="B15" s="502"/>
      <c r="C15" s="503"/>
      <c r="D15" s="503"/>
      <c r="E15" s="503"/>
      <c r="F15" s="503"/>
      <c r="G15" s="504"/>
      <c r="H15" s="330" t="s">
        <v>60</v>
      </c>
      <c r="I15" s="332" t="s">
        <v>80</v>
      </c>
      <c r="J15" s="330" t="s">
        <v>195</v>
      </c>
      <c r="K15" s="332" t="s">
        <v>14</v>
      </c>
      <c r="L15" s="331">
        <f>IF(K15="",0,VLOOKUP(K15,基本!$A$5:'基本'!$C$10,3,FALSE))</f>
        <v>5</v>
      </c>
    </row>
    <row r="16" spans="1:12" s="201" customFormat="1" ht="12">
      <c r="A16" s="480"/>
      <c r="B16" s="480"/>
      <c r="C16" s="480"/>
      <c r="D16" s="480"/>
      <c r="E16" s="480"/>
      <c r="F16" s="480"/>
      <c r="G16" s="480"/>
      <c r="H16" s="200"/>
    </row>
    <row r="17" spans="1:13" ht="8.25" customHeight="1">
      <c r="A17" s="468"/>
      <c r="B17" s="468"/>
      <c r="C17" s="468"/>
      <c r="D17" s="468"/>
      <c r="E17" s="468"/>
      <c r="F17" s="468"/>
      <c r="G17" s="468"/>
    </row>
    <row r="18" spans="1:13">
      <c r="A18" s="473" t="s">
        <v>49</v>
      </c>
      <c r="B18" s="474"/>
      <c r="C18" s="474"/>
      <c r="D18" s="474"/>
      <c r="E18" s="474"/>
      <c r="F18" s="474"/>
      <c r="G18" s="475"/>
    </row>
    <row r="19" spans="1:13" s="204" customFormat="1" ht="7.5" customHeight="1">
      <c r="A19" s="508"/>
      <c r="B19" s="509"/>
      <c r="C19" s="509"/>
      <c r="D19" s="509"/>
      <c r="E19" s="509"/>
      <c r="F19" s="509"/>
      <c r="G19" s="510"/>
      <c r="L19" s="205"/>
      <c r="M19" s="205"/>
    </row>
    <row r="20" spans="1:13" s="174" customFormat="1" ht="13.5" customHeight="1">
      <c r="A20" s="464" t="s">
        <v>556</v>
      </c>
      <c r="B20" s="368"/>
      <c r="C20" s="368"/>
      <c r="D20" s="368"/>
      <c r="E20" s="368"/>
      <c r="F20" s="368"/>
      <c r="G20" s="465"/>
      <c r="H20" s="198"/>
      <c r="I20" s="198"/>
      <c r="J20" s="198"/>
      <c r="K20" s="198"/>
      <c r="L20" s="198"/>
    </row>
    <row r="21" spans="1:13" s="174" customFormat="1" ht="13.5" customHeight="1">
      <c r="A21" s="464" t="s">
        <v>563</v>
      </c>
      <c r="B21" s="368"/>
      <c r="C21" s="368"/>
      <c r="D21" s="368"/>
      <c r="E21" s="368"/>
      <c r="F21" s="368"/>
      <c r="G21" s="465"/>
      <c r="H21" s="198"/>
      <c r="I21" s="198"/>
      <c r="J21" s="198"/>
      <c r="K21" s="198"/>
      <c r="L21" s="198"/>
    </row>
    <row r="22" spans="1:13" s="174" customFormat="1" ht="13.5" customHeight="1">
      <c r="A22" s="606" t="s">
        <v>564</v>
      </c>
      <c r="B22" s="607"/>
      <c r="C22" s="607"/>
      <c r="D22" s="607"/>
      <c r="E22" s="607"/>
      <c r="F22" s="607"/>
      <c r="G22" s="608"/>
      <c r="L22" s="175"/>
    </row>
    <row r="23" spans="1:13" s="174" customFormat="1" ht="13.5" customHeight="1">
      <c r="A23" s="481" t="s">
        <v>575</v>
      </c>
      <c r="B23" s="607"/>
      <c r="C23" s="607"/>
      <c r="D23" s="607"/>
      <c r="E23" s="607"/>
      <c r="F23" s="607"/>
      <c r="G23" s="608"/>
      <c r="L23" s="175"/>
    </row>
    <row r="24" spans="1:13" s="174" customFormat="1" ht="13.5" customHeight="1">
      <c r="A24" s="481" t="s">
        <v>565</v>
      </c>
      <c r="B24" s="607"/>
      <c r="C24" s="607"/>
      <c r="D24" s="607"/>
      <c r="E24" s="607"/>
      <c r="F24" s="607"/>
      <c r="G24" s="608"/>
      <c r="L24" s="175"/>
    </row>
    <row r="25" spans="1:13" s="175" customFormat="1" ht="13.5" customHeight="1">
      <c r="A25" s="481" t="s">
        <v>566</v>
      </c>
      <c r="B25" s="482"/>
      <c r="C25" s="482"/>
      <c r="D25" s="482"/>
      <c r="E25" s="482"/>
      <c r="F25" s="482"/>
      <c r="G25" s="483"/>
      <c r="H25" s="174"/>
      <c r="I25" s="174"/>
      <c r="J25" s="174"/>
      <c r="K25" s="174"/>
    </row>
    <row r="26" spans="1:13" s="174" customFormat="1" ht="13.5" customHeight="1">
      <c r="A26" s="606" t="s">
        <v>559</v>
      </c>
      <c r="B26" s="607"/>
      <c r="C26" s="607"/>
      <c r="D26" s="607"/>
      <c r="E26" s="607"/>
      <c r="F26" s="607"/>
      <c r="G26" s="608"/>
      <c r="L26" s="175"/>
    </row>
    <row r="27" spans="1:13" s="175" customFormat="1" ht="13.5" customHeight="1">
      <c r="A27" s="606"/>
      <c r="B27" s="607"/>
      <c r="C27" s="607"/>
      <c r="D27" s="607"/>
      <c r="E27" s="607"/>
      <c r="F27" s="607"/>
      <c r="G27" s="608"/>
      <c r="H27" s="174"/>
      <c r="I27" s="174"/>
      <c r="J27" s="174"/>
      <c r="K27" s="174"/>
    </row>
    <row r="28" spans="1:13" s="174" customFormat="1" ht="13.5" customHeight="1">
      <c r="A28" s="606" t="s">
        <v>571</v>
      </c>
      <c r="B28" s="607"/>
      <c r="C28" s="607"/>
      <c r="D28" s="607"/>
      <c r="E28" s="607"/>
      <c r="F28" s="607"/>
      <c r="G28" s="608"/>
      <c r="L28" s="175"/>
    </row>
    <row r="29" spans="1:13" s="174" customFormat="1" ht="13.5" customHeight="1">
      <c r="A29" s="481" t="s">
        <v>558</v>
      </c>
      <c r="B29" s="482"/>
      <c r="C29" s="482"/>
      <c r="D29" s="482"/>
      <c r="E29" s="482"/>
      <c r="F29" s="482"/>
      <c r="G29" s="483"/>
      <c r="L29" s="175"/>
    </row>
    <row r="30" spans="1:13" s="174" customFormat="1" ht="13.5" customHeight="1">
      <c r="A30" s="481" t="s">
        <v>567</v>
      </c>
      <c r="B30" s="482"/>
      <c r="C30" s="482"/>
      <c r="D30" s="482"/>
      <c r="E30" s="482"/>
      <c r="F30" s="482"/>
      <c r="G30" s="483"/>
      <c r="L30" s="175"/>
    </row>
    <row r="31" spans="1:13" s="174" customFormat="1" ht="13.5" customHeight="1">
      <c r="A31" s="481" t="s">
        <v>568</v>
      </c>
      <c r="B31" s="482"/>
      <c r="C31" s="482"/>
      <c r="D31" s="482"/>
      <c r="E31" s="482"/>
      <c r="F31" s="482"/>
      <c r="G31" s="483"/>
      <c r="L31" s="175"/>
    </row>
    <row r="32" spans="1:13" s="174" customFormat="1" ht="13.5" customHeight="1">
      <c r="A32" s="481" t="s">
        <v>569</v>
      </c>
      <c r="B32" s="482"/>
      <c r="C32" s="482"/>
      <c r="D32" s="482"/>
      <c r="E32" s="482"/>
      <c r="F32" s="482"/>
      <c r="G32" s="483"/>
      <c r="L32" s="175"/>
    </row>
    <row r="33" spans="1:12" s="174" customFormat="1" ht="13.5" customHeight="1">
      <c r="A33" s="481" t="s">
        <v>570</v>
      </c>
      <c r="B33" s="482"/>
      <c r="C33" s="482"/>
      <c r="D33" s="482"/>
      <c r="E33" s="482"/>
      <c r="F33" s="482"/>
      <c r="G33" s="483"/>
      <c r="L33" s="175"/>
    </row>
    <row r="34" spans="1:12" s="174" customFormat="1" ht="13.5" customHeight="1">
      <c r="A34" s="481" t="s">
        <v>576</v>
      </c>
      <c r="B34" s="482"/>
      <c r="C34" s="482"/>
      <c r="D34" s="482"/>
      <c r="E34" s="482"/>
      <c r="F34" s="482"/>
      <c r="G34" s="483"/>
      <c r="L34" s="175"/>
    </row>
    <row r="35" spans="1:12" s="174" customFormat="1" ht="13.5" customHeight="1">
      <c r="A35" s="481"/>
      <c r="B35" s="482"/>
      <c r="C35" s="482"/>
      <c r="D35" s="482"/>
      <c r="E35" s="482"/>
      <c r="F35" s="482"/>
      <c r="G35" s="483"/>
      <c r="L35" s="175"/>
    </row>
    <row r="36" spans="1:12" s="174" customFormat="1" ht="13.5" customHeight="1">
      <c r="A36" s="481" t="s">
        <v>577</v>
      </c>
      <c r="B36" s="482"/>
      <c r="C36" s="482"/>
      <c r="D36" s="482"/>
      <c r="E36" s="482"/>
      <c r="F36" s="482"/>
      <c r="G36" s="483"/>
      <c r="L36" s="175"/>
    </row>
    <row r="37" spans="1:12" s="174" customFormat="1" ht="13.5" customHeight="1">
      <c r="A37" s="481" t="s">
        <v>578</v>
      </c>
      <c r="B37" s="482"/>
      <c r="C37" s="482"/>
      <c r="D37" s="482"/>
      <c r="E37" s="482"/>
      <c r="F37" s="482"/>
      <c r="G37" s="483"/>
      <c r="L37" s="175"/>
    </row>
    <row r="38" spans="1:12" s="174" customFormat="1" ht="13.5" customHeight="1">
      <c r="A38" s="481" t="s">
        <v>579</v>
      </c>
      <c r="B38" s="482"/>
      <c r="C38" s="482"/>
      <c r="D38" s="482"/>
      <c r="E38" s="482"/>
      <c r="F38" s="482"/>
      <c r="G38" s="483"/>
      <c r="L38" s="175"/>
    </row>
    <row r="39" spans="1:12" s="174" customFormat="1" ht="13.5" customHeight="1">
      <c r="A39" s="481" t="s">
        <v>572</v>
      </c>
      <c r="B39" s="482"/>
      <c r="C39" s="482"/>
      <c r="D39" s="482"/>
      <c r="E39" s="482"/>
      <c r="F39" s="482"/>
      <c r="G39" s="483"/>
      <c r="L39" s="175"/>
    </row>
    <row r="40" spans="1:12" s="174" customFormat="1" ht="13.5" customHeight="1">
      <c r="A40" s="481" t="s">
        <v>560</v>
      </c>
      <c r="B40" s="482"/>
      <c r="C40" s="482"/>
      <c r="D40" s="482"/>
      <c r="E40" s="482"/>
      <c r="F40" s="482"/>
      <c r="G40" s="483"/>
      <c r="L40" s="175"/>
    </row>
    <row r="41" spans="1:12" s="174" customFormat="1" ht="13.5" customHeight="1">
      <c r="A41" s="481"/>
      <c r="B41" s="482"/>
      <c r="C41" s="482"/>
      <c r="D41" s="482"/>
      <c r="E41" s="482"/>
      <c r="F41" s="482"/>
      <c r="G41" s="483"/>
      <c r="L41" s="175"/>
    </row>
    <row r="42" spans="1:12" s="174" customFormat="1" ht="13.5" customHeight="1">
      <c r="A42" s="481" t="s">
        <v>561</v>
      </c>
      <c r="B42" s="482"/>
      <c r="C42" s="482"/>
      <c r="D42" s="482"/>
      <c r="E42" s="482"/>
      <c r="F42" s="482"/>
      <c r="G42" s="483"/>
      <c r="L42" s="175"/>
    </row>
    <row r="43" spans="1:12" s="174" customFormat="1" ht="13.5" customHeight="1">
      <c r="A43" s="481" t="s">
        <v>562</v>
      </c>
      <c r="B43" s="482"/>
      <c r="C43" s="482"/>
      <c r="D43" s="482"/>
      <c r="E43" s="482"/>
      <c r="F43" s="482"/>
      <c r="G43" s="483"/>
      <c r="L43" s="175"/>
    </row>
    <row r="44" spans="1:12" s="174" customFormat="1" ht="13.5" customHeight="1">
      <c r="A44" s="481" t="s">
        <v>573</v>
      </c>
      <c r="B44" s="482"/>
      <c r="C44" s="482"/>
      <c r="D44" s="482"/>
      <c r="E44" s="482"/>
      <c r="F44" s="482"/>
      <c r="G44" s="483"/>
      <c r="L44" s="175"/>
    </row>
    <row r="45" spans="1:12" s="174" customFormat="1" ht="13.5" customHeight="1">
      <c r="A45" s="481" t="s">
        <v>574</v>
      </c>
      <c r="B45" s="482"/>
      <c r="C45" s="482"/>
      <c r="D45" s="482"/>
      <c r="E45" s="482"/>
      <c r="F45" s="482"/>
      <c r="G45" s="483"/>
      <c r="L45" s="175"/>
    </row>
    <row r="46" spans="1:12" s="174" customFormat="1" ht="13.5" customHeight="1">
      <c r="A46" s="481" t="s">
        <v>580</v>
      </c>
      <c r="B46" s="482"/>
      <c r="C46" s="482"/>
      <c r="D46" s="482"/>
      <c r="E46" s="482"/>
      <c r="F46" s="482"/>
      <c r="G46" s="483"/>
      <c r="L46" s="175"/>
    </row>
    <row r="47" spans="1:12" s="174" customFormat="1" ht="13.5" customHeight="1">
      <c r="A47" s="481" t="s">
        <v>587</v>
      </c>
      <c r="B47" s="482"/>
      <c r="C47" s="482"/>
      <c r="D47" s="482"/>
      <c r="E47" s="482"/>
      <c r="F47" s="482"/>
      <c r="G47" s="483"/>
      <c r="L47" s="175"/>
    </row>
    <row r="48" spans="1:12" s="174" customFormat="1" ht="13.5" customHeight="1">
      <c r="A48" s="481" t="s">
        <v>581</v>
      </c>
      <c r="B48" s="482"/>
      <c r="C48" s="482"/>
      <c r="D48" s="482"/>
      <c r="E48" s="482"/>
      <c r="F48" s="482"/>
      <c r="G48" s="483"/>
      <c r="L48" s="175"/>
    </row>
    <row r="49" spans="1:13" s="175" customFormat="1" ht="13.5" customHeight="1">
      <c r="A49" s="606" t="s">
        <v>585</v>
      </c>
      <c r="B49" s="607"/>
      <c r="C49" s="607"/>
      <c r="D49" s="607"/>
      <c r="E49" s="607"/>
      <c r="F49" s="607"/>
      <c r="G49" s="608"/>
      <c r="H49" s="174"/>
      <c r="I49" s="174"/>
      <c r="J49" s="174"/>
      <c r="K49" s="174"/>
    </row>
    <row r="50" spans="1:13" s="174" customFormat="1" ht="13.5" customHeight="1">
      <c r="A50" s="481"/>
      <c r="B50" s="482"/>
      <c r="C50" s="482"/>
      <c r="D50" s="482"/>
      <c r="E50" s="482"/>
      <c r="F50" s="482"/>
      <c r="G50" s="483"/>
      <c r="L50" s="175"/>
    </row>
    <row r="51" spans="1:13" s="174" customFormat="1" ht="13.5" customHeight="1">
      <c r="A51" s="481" t="s">
        <v>582</v>
      </c>
      <c r="B51" s="482"/>
      <c r="C51" s="482"/>
      <c r="D51" s="482"/>
      <c r="E51" s="482"/>
      <c r="F51" s="482"/>
      <c r="G51" s="483"/>
      <c r="L51" s="175"/>
    </row>
    <row r="52" spans="1:13" s="174" customFormat="1" ht="13.5" customHeight="1">
      <c r="A52" s="481" t="s">
        <v>583</v>
      </c>
      <c r="B52" s="482"/>
      <c r="C52" s="482"/>
      <c r="D52" s="482"/>
      <c r="E52" s="482"/>
      <c r="F52" s="482"/>
      <c r="G52" s="483"/>
      <c r="L52" s="175"/>
    </row>
    <row r="53" spans="1:13" s="174" customFormat="1" ht="13.5" customHeight="1">
      <c r="A53" s="481" t="s">
        <v>586</v>
      </c>
      <c r="B53" s="482"/>
      <c r="C53" s="482"/>
      <c r="D53" s="482"/>
      <c r="E53" s="482"/>
      <c r="F53" s="482"/>
      <c r="G53" s="483"/>
      <c r="L53" s="175"/>
    </row>
    <row r="54" spans="1:13" s="174" customFormat="1" ht="13.5" customHeight="1">
      <c r="A54" s="481" t="s">
        <v>584</v>
      </c>
      <c r="B54" s="482"/>
      <c r="C54" s="482"/>
      <c r="D54" s="482"/>
      <c r="E54" s="482"/>
      <c r="F54" s="482"/>
      <c r="G54" s="483"/>
      <c r="L54" s="175"/>
    </row>
    <row r="55" spans="1:13" s="174" customFormat="1" ht="13.5" customHeight="1">
      <c r="A55" s="481"/>
      <c r="B55" s="482"/>
      <c r="C55" s="482"/>
      <c r="D55" s="482"/>
      <c r="E55" s="482"/>
      <c r="F55" s="482"/>
      <c r="G55" s="483"/>
      <c r="L55" s="175"/>
    </row>
    <row r="56" spans="1:13" s="204" customFormat="1" ht="8.25" customHeight="1">
      <c r="A56" s="634"/>
      <c r="B56" s="635"/>
      <c r="C56" s="635"/>
      <c r="D56" s="635"/>
      <c r="E56" s="635"/>
      <c r="F56" s="635"/>
      <c r="G56" s="636"/>
      <c r="L56" s="205"/>
      <c r="M56" s="205"/>
    </row>
    <row r="57" spans="1:13" s="91" customFormat="1" ht="21">
      <c r="A57" s="97" t="s">
        <v>114</v>
      </c>
      <c r="B57" s="333">
        <f>$B$1</f>
        <v>16</v>
      </c>
      <c r="C57" s="98" t="s">
        <v>40</v>
      </c>
      <c r="D57" s="99" t="str">
        <f>$E$1</f>
        <v>無限回</v>
      </c>
      <c r="E57" s="461" t="str">
        <f>$B$2</f>
        <v>ドミナント・ウィンズ</v>
      </c>
      <c r="F57" s="462"/>
      <c r="G57" s="463"/>
      <c r="L57" s="173"/>
      <c r="M57" s="173"/>
    </row>
  </sheetData>
  <mergeCells count="60">
    <mergeCell ref="A54:G54"/>
    <mergeCell ref="A55:G55"/>
    <mergeCell ref="A39:G39"/>
    <mergeCell ref="A26:G26"/>
    <mergeCell ref="A35:G35"/>
    <mergeCell ref="A36:G36"/>
    <mergeCell ref="A37:G37"/>
    <mergeCell ref="A38:G38"/>
    <mergeCell ref="A29:G29"/>
    <mergeCell ref="A33:G33"/>
    <mergeCell ref="A27:G27"/>
    <mergeCell ref="A28:G28"/>
    <mergeCell ref="A30:G30"/>
    <mergeCell ref="A31:G31"/>
    <mergeCell ref="A32:G32"/>
    <mergeCell ref="A34:G34"/>
    <mergeCell ref="E57:G57"/>
    <mergeCell ref="A44:G44"/>
    <mergeCell ref="A40:G40"/>
    <mergeCell ref="A47:G47"/>
    <mergeCell ref="A46:G46"/>
    <mergeCell ref="A45:G45"/>
    <mergeCell ref="A48:G48"/>
    <mergeCell ref="A50:G50"/>
    <mergeCell ref="A41:G41"/>
    <mergeCell ref="A42:G42"/>
    <mergeCell ref="A49:G49"/>
    <mergeCell ref="A56:G56"/>
    <mergeCell ref="A51:G51"/>
    <mergeCell ref="A52:G52"/>
    <mergeCell ref="A53:G53"/>
    <mergeCell ref="A43:G43"/>
    <mergeCell ref="A20:G20"/>
    <mergeCell ref="A21:G21"/>
    <mergeCell ref="A23:G23"/>
    <mergeCell ref="A24:G24"/>
    <mergeCell ref="A25:G25"/>
    <mergeCell ref="A22:G22"/>
    <mergeCell ref="B15:G15"/>
    <mergeCell ref="A17:G17"/>
    <mergeCell ref="A18:G18"/>
    <mergeCell ref="A19:G19"/>
    <mergeCell ref="A16:G16"/>
    <mergeCell ref="B13:G13"/>
    <mergeCell ref="B14:G14"/>
    <mergeCell ref="H4:L4"/>
    <mergeCell ref="B5:G5"/>
    <mergeCell ref="B10:G10"/>
    <mergeCell ref="B7:D7"/>
    <mergeCell ref="B8:G8"/>
    <mergeCell ref="B11:G11"/>
    <mergeCell ref="B9:G9"/>
    <mergeCell ref="J9:K9"/>
    <mergeCell ref="J11:K11"/>
    <mergeCell ref="B12:G12"/>
    <mergeCell ref="B1:C1"/>
    <mergeCell ref="F1:G1"/>
    <mergeCell ref="B2:G2"/>
    <mergeCell ref="B4:G4"/>
    <mergeCell ref="B6:D6"/>
  </mergeCells>
  <phoneticPr fontId="1"/>
  <pageMargins left="0.7" right="0.7" top="0.75" bottom="0.75" header="0.3" footer="0.3"/>
  <pageSetup paperSize="9" orientation="portrait" horizontalDpi="300" verticalDpi="300" r:id="rId1"/>
  <headerFooter>
    <oddHeader>&amp;Cイーライ</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0"/>
  <sheetViews>
    <sheetView zoomScaleNormal="100" workbookViewId="0">
      <selection activeCell="B2" sqref="B2:G2"/>
    </sheetView>
  </sheetViews>
  <sheetFormatPr defaultColWidth="9" defaultRowHeight="13.5"/>
  <cols>
    <col min="1" max="1" width="7.875" style="173" customWidth="1"/>
    <col min="2" max="2" width="8.5" style="173" customWidth="1"/>
    <col min="3" max="3" width="6.625" style="173" customWidth="1"/>
    <col min="4" max="4" width="15.75" style="17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73" customWidth="1"/>
    <col min="13" max="13" width="9.25" style="173" customWidth="1"/>
    <col min="14" max="14" width="12.375" style="173" customWidth="1"/>
    <col min="15" max="16384" width="9" style="173"/>
  </cols>
  <sheetData>
    <row r="1" spans="1:12" ht="21">
      <c r="A1" s="127" t="s">
        <v>32</v>
      </c>
      <c r="B1" s="563">
        <v>20</v>
      </c>
      <c r="C1" s="564"/>
      <c r="D1" s="128" t="s">
        <v>40</v>
      </c>
      <c r="E1" s="129" t="s">
        <v>120</v>
      </c>
      <c r="F1" s="565"/>
      <c r="G1" s="566"/>
      <c r="H1" s="96" t="s">
        <v>55</v>
      </c>
    </row>
    <row r="2" spans="1:12" ht="24.75" customHeight="1">
      <c r="A2" s="128" t="s">
        <v>0</v>
      </c>
      <c r="B2" s="567" t="s">
        <v>287</v>
      </c>
      <c r="C2" s="567"/>
      <c r="D2" s="567"/>
      <c r="E2" s="567"/>
      <c r="F2" s="567"/>
      <c r="G2" s="567"/>
      <c r="H2" s="96" t="s">
        <v>56</v>
      </c>
    </row>
    <row r="3" spans="1:12" ht="19.5" customHeight="1">
      <c r="A3" s="102" t="s">
        <v>48</v>
      </c>
      <c r="B3" s="91"/>
      <c r="C3" s="91"/>
      <c r="D3" s="91"/>
      <c r="I3" s="96"/>
    </row>
    <row r="4" spans="1:12">
      <c r="A4" s="76" t="s">
        <v>46</v>
      </c>
      <c r="B4" s="439" t="s">
        <v>251</v>
      </c>
      <c r="C4" s="440"/>
      <c r="D4" s="440"/>
      <c r="E4" s="440"/>
      <c r="F4" s="440"/>
      <c r="G4" s="441"/>
      <c r="H4" s="381" t="s">
        <v>201</v>
      </c>
      <c r="I4" s="382"/>
      <c r="J4" s="382"/>
      <c r="K4" s="382"/>
      <c r="L4" s="383"/>
    </row>
    <row r="5" spans="1:12">
      <c r="A5" s="77" t="s">
        <v>39</v>
      </c>
      <c r="B5" s="439" t="s">
        <v>252</v>
      </c>
      <c r="C5" s="440"/>
      <c r="D5" s="440"/>
      <c r="E5" s="440"/>
      <c r="F5" s="440"/>
      <c r="G5" s="441"/>
      <c r="H5" s="182" t="s">
        <v>43</v>
      </c>
      <c r="I5" s="184" t="s">
        <v>70</v>
      </c>
      <c r="J5" s="184"/>
    </row>
    <row r="6" spans="1:12">
      <c r="A6" s="77" t="s">
        <v>7</v>
      </c>
      <c r="B6" s="439" t="s">
        <v>5</v>
      </c>
      <c r="C6" s="440"/>
      <c r="D6" s="441"/>
      <c r="E6" s="182" t="s">
        <v>43</v>
      </c>
      <c r="F6" s="159" t="str">
        <f>$I$5</f>
        <v>近接範囲</v>
      </c>
      <c r="G6" s="183" t="str">
        <f>IF($J$5 = 0,"", $J$5)</f>
        <v/>
      </c>
      <c r="H6" s="182" t="s">
        <v>66</v>
      </c>
      <c r="I6" s="184" t="s">
        <v>67</v>
      </c>
      <c r="J6" s="184">
        <v>3</v>
      </c>
    </row>
    <row r="7" spans="1:12">
      <c r="A7" s="134" t="s">
        <v>6</v>
      </c>
      <c r="B7" s="591" t="s">
        <v>253</v>
      </c>
      <c r="C7" s="592"/>
      <c r="D7" s="593"/>
      <c r="E7" s="182" t="s">
        <v>66</v>
      </c>
      <c r="F7" s="159" t="str">
        <f>IF($I$6 = 0,"", $I$6)</f>
        <v>爆発</v>
      </c>
      <c r="G7" s="159">
        <f>IF($J$6 = 0,"", $J$6)</f>
        <v>3</v>
      </c>
      <c r="H7" s="182" t="s">
        <v>85</v>
      </c>
      <c r="I7" s="184" t="s">
        <v>133</v>
      </c>
      <c r="J7" s="96" t="s">
        <v>62</v>
      </c>
      <c r="L7" s="191" t="s">
        <v>193</v>
      </c>
    </row>
    <row r="8" spans="1:12">
      <c r="A8" s="134" t="s">
        <v>8</v>
      </c>
      <c r="B8" s="439" t="s">
        <v>180</v>
      </c>
      <c r="C8" s="440"/>
      <c r="D8" s="440"/>
      <c r="E8" s="440"/>
      <c r="F8" s="440"/>
      <c r="G8" s="441"/>
      <c r="H8" s="182" t="s">
        <v>51</v>
      </c>
      <c r="I8" s="184" t="s">
        <v>17</v>
      </c>
      <c r="J8" s="183">
        <f>IF($I$8 = "筋力",基本!$C$5,IF($I$8 = "耐久力",基本!$C$6,IF($I$8 = "敏捷力",基本!$C$7,IF($I$8 = "知力",基本!$C$8,IF($I$8 = "判断力",基本!$C$9,IF($I$8 = "魅力",基本!$C$10,""))))))</f>
        <v>6</v>
      </c>
      <c r="K8" s="184" t="s">
        <v>20</v>
      </c>
      <c r="L8" s="192">
        <f>$J$8+$L$9+$I$9</f>
        <v>20</v>
      </c>
    </row>
    <row r="9" spans="1:12">
      <c r="A9" s="79" t="s">
        <v>9</v>
      </c>
      <c r="B9" s="594" t="s">
        <v>254</v>
      </c>
      <c r="C9" s="595"/>
      <c r="D9" s="595"/>
      <c r="E9" s="595"/>
      <c r="F9" s="595"/>
      <c r="G9" s="596"/>
      <c r="H9" s="182" t="s">
        <v>58</v>
      </c>
      <c r="I9" s="184">
        <v>0</v>
      </c>
      <c r="J9" s="381" t="s">
        <v>53</v>
      </c>
      <c r="K9" s="383"/>
      <c r="L9" s="183">
        <f>IF($I$7=基本!$F$4,基本!$O$7,IF($I$7=基本!$F$13,基本!$O$16,IF($I$7=基本!$F$22,基本!$O$25,IF($I$7=基本!$F$31,基本!$O$34,IF($I$7=基本!$F$40,基本!$O$43,0)))))</f>
        <v>14</v>
      </c>
    </row>
    <row r="10" spans="1:12">
      <c r="A10" s="199" t="s">
        <v>226</v>
      </c>
      <c r="B10" s="444" t="s">
        <v>255</v>
      </c>
      <c r="C10" s="445"/>
      <c r="D10" s="445"/>
      <c r="E10" s="445"/>
      <c r="F10" s="445"/>
      <c r="G10" s="446"/>
      <c r="H10" s="181" t="s">
        <v>52</v>
      </c>
      <c r="I10" s="184" t="s">
        <v>17</v>
      </c>
      <c r="J10" s="100">
        <f>IF($I$10 = "筋力",基本!$C$5,IF($I$10 = "耐久力",基本!$C$6,IF($I$10 = "敏捷力",基本!$C$7,IF($I$10 = "知力",基本!$C$8,IF($I$10 = "判断力",基本!$C$9,IF($I$10 = "魅力",基本!$C$10,""))))))</f>
        <v>6</v>
      </c>
      <c r="L10" s="91"/>
    </row>
    <row r="11" spans="1:12">
      <c r="A11" s="80"/>
      <c r="B11" s="481" t="s">
        <v>256</v>
      </c>
      <c r="C11" s="482"/>
      <c r="D11" s="482"/>
      <c r="E11" s="482"/>
      <c r="F11" s="482"/>
      <c r="G11" s="483"/>
      <c r="H11" s="182" t="s">
        <v>59</v>
      </c>
      <c r="I11" s="184">
        <v>0</v>
      </c>
      <c r="J11" s="381" t="s">
        <v>54</v>
      </c>
      <c r="K11" s="383"/>
      <c r="L11" s="183">
        <f>IF($I$7=基本!$F$4,基本!$O$9,IF($I$7=基本!$F$13,基本!$O$18,IF($I$7=基本!$F$22,基本!$O$27,IF($I$7=基本!$F$31,基本!$O$36,IF($I$7=基本!$F$40,基本!$O$45,0)))))</f>
        <v>17</v>
      </c>
    </row>
    <row r="12" spans="1:12">
      <c r="A12" s="80"/>
      <c r="B12" s="481" t="s">
        <v>257</v>
      </c>
      <c r="C12" s="482"/>
      <c r="D12" s="482"/>
      <c r="E12" s="482"/>
      <c r="F12" s="482"/>
      <c r="G12" s="483"/>
      <c r="H12" s="173"/>
      <c r="I12" s="173"/>
      <c r="J12" s="173"/>
      <c r="K12" s="173"/>
      <c r="L12" s="191" t="s">
        <v>193</v>
      </c>
    </row>
    <row r="13" spans="1:12" ht="13.5" customHeight="1">
      <c r="A13" s="80"/>
      <c r="B13" s="481" t="s">
        <v>288</v>
      </c>
      <c r="C13" s="482"/>
      <c r="D13" s="482"/>
      <c r="E13" s="482"/>
      <c r="F13" s="482"/>
      <c r="G13" s="483"/>
      <c r="H13" s="182" t="s">
        <v>86</v>
      </c>
      <c r="I13" s="184">
        <v>3</v>
      </c>
      <c r="J13" s="182" t="s">
        <v>44</v>
      </c>
      <c r="K13" s="184">
        <v>6</v>
      </c>
      <c r="L13" s="192">
        <f>$J$10+$L$11+$I$11</f>
        <v>23</v>
      </c>
    </row>
    <row r="14" spans="1:12" ht="13.5" customHeight="1">
      <c r="A14" s="80"/>
      <c r="B14" s="481" t="s">
        <v>258</v>
      </c>
      <c r="C14" s="482"/>
      <c r="D14" s="482"/>
      <c r="E14" s="482"/>
      <c r="F14" s="482"/>
      <c r="G14" s="483"/>
      <c r="H14" s="182" t="s">
        <v>50</v>
      </c>
      <c r="I14" s="32">
        <f>IF($I$7=基本!$F$4,基本!$L$11,IF($I$7=基本!$F$13,基本!$L$20,IF($I$7=基本!$F$22,基本!$L$29,IF($I$7=基本!$F$31,基本!$L$38,IF($I$7=基本!$F$40,基本!$L$47,0)))))</f>
        <v>4</v>
      </c>
      <c r="J14" s="182" t="s">
        <v>44</v>
      </c>
      <c r="K14" s="32">
        <f>IF($I$7=基本!$F$4,基本!$N$11,IF($I$7=基本!$F$13,基本!$N$20,IF($I$7=基本!$F$22,基本!$N$29,IF($I$7=基本!$F$31,基本!$N$38,IF($I$7=基本!$F$40,基本!$N$47,0)))))</f>
        <v>6</v>
      </c>
      <c r="L14" s="192">
        <f>$J$10+$L$11+$I$11+($I$13*$K$13)</f>
        <v>41</v>
      </c>
    </row>
    <row r="15" spans="1:12" ht="13.5" customHeight="1">
      <c r="A15" s="135"/>
      <c r="B15" s="481" t="s">
        <v>259</v>
      </c>
      <c r="C15" s="482"/>
      <c r="D15" s="482"/>
      <c r="E15" s="482"/>
      <c r="F15" s="482"/>
      <c r="G15" s="483"/>
      <c r="H15" s="182" t="s">
        <v>60</v>
      </c>
      <c r="I15" s="184"/>
      <c r="J15" s="182" t="s">
        <v>195</v>
      </c>
      <c r="K15" s="184" t="s">
        <v>14</v>
      </c>
      <c r="L15" s="183">
        <f>IF(K15="",0,VLOOKUP(K15,基本!$A$5:'基本'!$C$10,3,FALSE))</f>
        <v>5</v>
      </c>
    </row>
    <row r="16" spans="1:12" ht="24" customHeight="1">
      <c r="A16" s="80"/>
      <c r="B16" s="637" t="str">
        <f>"Ｔ開始時に　"&amp;$L$13+IF($I$15="雷鳴",3,0) &amp; "+" &amp; 3 &amp; "d" &amp; $K$13&amp;"　あるいは　"&amp;$L$13+IF($I$15="雷鳴",3,0) &amp; "+" &amp; 1 &amp; "d" &amp; $K$13&amp;"　ダメージ"</f>
        <v>Ｔ開始時に　23+3d6　あるいは　23+1d6　ダメージ</v>
      </c>
      <c r="C16" s="638"/>
      <c r="D16" s="638"/>
      <c r="E16" s="638"/>
      <c r="F16" s="638"/>
      <c r="G16" s="639"/>
    </row>
    <row r="17" spans="1:11" ht="13.5" customHeight="1">
      <c r="A17" s="79" t="s">
        <v>150</v>
      </c>
      <c r="B17" s="444" t="s">
        <v>260</v>
      </c>
      <c r="C17" s="445"/>
      <c r="D17" s="445"/>
      <c r="E17" s="445"/>
      <c r="F17" s="445"/>
      <c r="G17" s="446"/>
    </row>
    <row r="18" spans="1:11" ht="7.5" customHeight="1">
      <c r="A18" s="81"/>
      <c r="B18" s="502"/>
      <c r="C18" s="503"/>
      <c r="D18" s="503"/>
      <c r="E18" s="503"/>
      <c r="F18" s="503"/>
      <c r="G18" s="504"/>
    </row>
    <row r="19" spans="1:11" ht="14.25" thickBot="1">
      <c r="A19" s="136" t="s">
        <v>47</v>
      </c>
      <c r="E19" s="92"/>
    </row>
    <row r="20" spans="1:11" ht="13.5" customHeight="1">
      <c r="A20" s="557" t="str">
        <f>$B$2</f>
        <v>ソーズ・オヴ・ザ・マリリス</v>
      </c>
      <c r="B20" s="558"/>
      <c r="C20" s="559"/>
      <c r="D20" s="497" t="s">
        <v>2</v>
      </c>
      <c r="E20" s="498"/>
      <c r="F20" s="484" t="s">
        <v>272</v>
      </c>
      <c r="G20" s="485"/>
      <c r="H20" s="173"/>
      <c r="I20" s="173"/>
      <c r="J20" s="173"/>
      <c r="K20" s="173"/>
    </row>
    <row r="21" spans="1:11" ht="15" customHeight="1" thickBot="1">
      <c r="A21" s="560"/>
      <c r="B21" s="561"/>
      <c r="C21" s="562"/>
      <c r="D21" s="160" t="s">
        <v>2</v>
      </c>
      <c r="E21" s="215" t="s">
        <v>1</v>
      </c>
      <c r="F21" s="160" t="s">
        <v>2</v>
      </c>
      <c r="G21" s="214" t="s">
        <v>1</v>
      </c>
      <c r="H21" s="173"/>
      <c r="I21" s="173"/>
      <c r="J21" s="173"/>
      <c r="K21" s="173"/>
    </row>
    <row r="22" spans="1:11" ht="20.25" customHeight="1">
      <c r="A22" s="450" t="s">
        <v>42</v>
      </c>
      <c r="B22" s="225" t="s">
        <v>113</v>
      </c>
      <c r="C22" s="488" t="str">
        <f>$K$8</f>
        <v>反応</v>
      </c>
      <c r="D22" s="222" t="str">
        <f>$L$8 &amp; "+1d20"</f>
        <v>20+1d20</v>
      </c>
      <c r="E22" s="223" t="str">
        <f>$L$8+2 &amp; "+1d20"</f>
        <v>22+1d20</v>
      </c>
      <c r="F22" s="222" t="str">
        <f>$L$8 &amp; "+1d20"</f>
        <v>20+1d20</v>
      </c>
      <c r="G22" s="224" t="str">
        <f>$L$8+2 &amp; "+1d20"</f>
        <v>22+1d20</v>
      </c>
      <c r="H22" s="173"/>
      <c r="I22" s="173"/>
      <c r="J22" s="173"/>
      <c r="K22" s="173"/>
    </row>
    <row r="23" spans="1:11" ht="20.25" customHeight="1">
      <c r="A23" s="451"/>
      <c r="B23" s="319" t="s">
        <v>427</v>
      </c>
      <c r="C23" s="489"/>
      <c r="D23" s="313" t="str">
        <f>$L$8 -5&amp; "+1d20"</f>
        <v>15+1d20</v>
      </c>
      <c r="E23" s="314" t="str">
        <f>$L$8+2 -5&amp; "+1d20"</f>
        <v>17+1d20</v>
      </c>
      <c r="F23" s="313" t="str">
        <f>$L$8 -5&amp; "+1d20"</f>
        <v>15+1d20</v>
      </c>
      <c r="G23" s="315" t="str">
        <f>$L$8+2 -5&amp; "+1d20"</f>
        <v>17+1d20</v>
      </c>
      <c r="H23" s="173"/>
      <c r="I23" s="173"/>
      <c r="J23" s="173"/>
      <c r="K23" s="173"/>
    </row>
    <row r="24" spans="1:11" ht="20.25" customHeight="1">
      <c r="A24" s="451"/>
      <c r="B24" s="321" t="s">
        <v>365</v>
      </c>
      <c r="C24" s="489"/>
      <c r="D24" s="316" t="str">
        <f>3+$L$8 &amp; "+1d20"</f>
        <v>23+1d20</v>
      </c>
      <c r="E24" s="317" t="str">
        <f>3+$L$8+2 &amp; "+1d20"</f>
        <v>25+1d20</v>
      </c>
      <c r="F24" s="316" t="str">
        <f>3+$L$8 &amp; "+1d20"</f>
        <v>23+1d20</v>
      </c>
      <c r="G24" s="318" t="str">
        <f>3+$L$8+2 &amp; "+1d20"</f>
        <v>25+1d20</v>
      </c>
      <c r="H24" s="173"/>
      <c r="I24" s="173"/>
      <c r="J24" s="173"/>
      <c r="K24" s="173"/>
    </row>
    <row r="25" spans="1:11" ht="20.25" customHeight="1" thickBot="1">
      <c r="A25" s="452"/>
      <c r="B25" s="320" t="s">
        <v>428</v>
      </c>
      <c r="C25" s="490"/>
      <c r="D25" s="226" t="str">
        <f>3+$L$8 -5&amp; "+1d20"</f>
        <v>18+1d20</v>
      </c>
      <c r="E25" s="227" t="str">
        <f>3+$L$8+2 -5&amp; "+1d20"</f>
        <v>20+1d20</v>
      </c>
      <c r="F25" s="226" t="str">
        <f>3+$L$8 -5&amp; "+1d20"</f>
        <v>18+1d20</v>
      </c>
      <c r="G25" s="228" t="str">
        <f>3+$L$8+2 -5&amp; "+1d20"</f>
        <v>20+1d20</v>
      </c>
      <c r="H25" s="173"/>
      <c r="I25" s="173"/>
      <c r="J25" s="173"/>
      <c r="K25" s="173"/>
    </row>
    <row r="26" spans="1:11" ht="23.25" customHeight="1">
      <c r="A26" s="442" t="s">
        <v>513</v>
      </c>
      <c r="B26" s="107" t="s">
        <v>4</v>
      </c>
      <c r="C26" s="110" t="str">
        <f>IF($I$15 = 0,"", $I$15)</f>
        <v/>
      </c>
      <c r="D26" s="111" t="str">
        <f>基本!$K$2+$L$13 &amp; "+" &amp; $I$13 &amp; "d" &amp; $K$13</f>
        <v>25+3d6</v>
      </c>
      <c r="E26" s="216" t="str">
        <f>基本!$K$2+$L$13 &amp; "+" &amp; $I$13 &amp; "d" &amp; $K$13</f>
        <v>25+3d6</v>
      </c>
      <c r="F26" s="111" t="str">
        <f>基本!$K$2+$L$13 &amp; "+" &amp; $I$13 &amp; "d" &amp; $K$13&amp;"+1d6"</f>
        <v>25+3d6+1d6</v>
      </c>
      <c r="G26" s="158" t="str">
        <f>基本!$K$2+$L$13 &amp; "+" &amp; $I$13 &amp; "d" &amp; $K$13&amp;"+1d6"</f>
        <v>25+3d6+1d6</v>
      </c>
      <c r="H26" s="173"/>
      <c r="I26" s="173"/>
      <c r="J26" s="173"/>
      <c r="K26" s="173"/>
    </row>
    <row r="27" spans="1:11" ht="23.25" customHeight="1" thickBot="1">
      <c r="A27" s="443"/>
      <c r="B27" s="104" t="s">
        <v>3</v>
      </c>
      <c r="C27" s="108" t="str">
        <f>IF($I$15 = 0,"", $I$15)</f>
        <v/>
      </c>
      <c r="D27" s="106" t="str">
        <f>基本!$K$2+$L$14 &amp; IF($I$14 =0,"","+" &amp; $I$14 &amp; "d" &amp; $K$14)</f>
        <v>43+4d6</v>
      </c>
      <c r="E27" s="217" t="str">
        <f>基本!$K$2+$L$14 &amp; IF($I$14 =0,"","+" &amp; $I$14 &amp; "d" &amp; $K$14)</f>
        <v>43+4d6</v>
      </c>
      <c r="F27" s="106" t="str">
        <f>基本!$K$2+6+$L$14 &amp; IF($I$14 =0,"","+" &amp; $I$14 &amp; "d" &amp; $K$14)</f>
        <v>49+4d6</v>
      </c>
      <c r="G27" s="103" t="str">
        <f>基本!$K$2+6+$L$14 &amp; IF($I$14 =0,"","+" &amp; $I$14 &amp; "d" &amp; $K$14)</f>
        <v>49+4d6</v>
      </c>
      <c r="H27" s="173"/>
      <c r="I27" s="173"/>
      <c r="J27" s="173"/>
      <c r="K27" s="173"/>
    </row>
    <row r="28" spans="1:11" ht="23.25" customHeight="1">
      <c r="A28" s="478" t="s">
        <v>113</v>
      </c>
      <c r="B28" s="107" t="s">
        <v>4</v>
      </c>
      <c r="C28" s="110" t="str">
        <f>IF($I$15 = 0,"", $I$15)</f>
        <v/>
      </c>
      <c r="D28" s="111" t="str">
        <f>$L$13 &amp; "+" &amp; $I$13 &amp; "d" &amp; $K$13</f>
        <v>23+3d6</v>
      </c>
      <c r="E28" s="216" t="str">
        <f>$L$13 &amp; "+" &amp; $I$13 &amp; "d" &amp; $K$13</f>
        <v>23+3d6</v>
      </c>
      <c r="F28" s="111" t="str">
        <f>$L$13 &amp; "+" &amp; $I$13 &amp; "d" &amp; $K$13&amp;"+1d6"</f>
        <v>23+3d6+1d6</v>
      </c>
      <c r="G28" s="158" t="str">
        <f>$L$13 &amp; "+" &amp; $I$13 &amp; "d" &amp; $K$13&amp;"+1d6"</f>
        <v>23+3d6+1d6</v>
      </c>
      <c r="H28" s="173"/>
      <c r="I28" s="173"/>
      <c r="J28" s="173"/>
      <c r="K28" s="173"/>
    </row>
    <row r="29" spans="1:11" ht="23.25" customHeight="1" thickBot="1">
      <c r="A29" s="479"/>
      <c r="B29" s="104" t="s">
        <v>3</v>
      </c>
      <c r="C29" s="108" t="str">
        <f>IF($I$15 = 0,"", $I$15)</f>
        <v/>
      </c>
      <c r="D29" s="106" t="str">
        <f>$L$14 &amp; IF($I$14 = 0,"","+" &amp; $I$14 &amp; "d" &amp; $K$14)</f>
        <v>41+4d6</v>
      </c>
      <c r="E29" s="217" t="str">
        <f>$L$14 &amp; IF($I$14 = 0,"","+" &amp; $I$14 &amp; "d" &amp; $K$14)</f>
        <v>41+4d6</v>
      </c>
      <c r="F29" s="106" t="str">
        <f>6+$L$14 &amp; IF($I$14 = 0,"","+" &amp; $I$14 &amp; "d" &amp; $K$14)</f>
        <v>47+4d6</v>
      </c>
      <c r="G29" s="103" t="str">
        <f>6+$L$14 &amp; IF($I$14 = 0,"","+" &amp; $I$14 &amp; "d" &amp; $K$14)</f>
        <v>47+4d6</v>
      </c>
      <c r="H29" s="173"/>
      <c r="I29" s="173"/>
      <c r="J29" s="173"/>
      <c r="K29" s="173"/>
    </row>
    <row r="30" spans="1:11" s="201" customFormat="1" ht="8.25" customHeight="1">
      <c r="A30" s="480"/>
      <c r="B30" s="480"/>
      <c r="C30" s="480"/>
      <c r="D30" s="480"/>
      <c r="E30" s="480"/>
      <c r="F30" s="480"/>
      <c r="G30" s="480"/>
      <c r="H30" s="200"/>
    </row>
    <row r="31" spans="1:11" ht="14.25">
      <c r="A31" s="362" t="s">
        <v>299</v>
      </c>
      <c r="B31" s="362"/>
      <c r="C31" s="362"/>
      <c r="D31" s="362"/>
      <c r="E31" s="362"/>
      <c r="F31" s="362"/>
      <c r="G31" s="362"/>
      <c r="I31" s="173"/>
      <c r="J31" s="173"/>
      <c r="K31" s="173"/>
    </row>
    <row r="32" spans="1:11" s="205" customFormat="1" ht="14.25">
      <c r="A32" s="362" t="s">
        <v>298</v>
      </c>
      <c r="B32" s="362"/>
      <c r="C32" s="362"/>
      <c r="D32" s="362"/>
      <c r="E32" s="362"/>
      <c r="F32" s="362"/>
      <c r="G32" s="362"/>
      <c r="H32" s="204"/>
      <c r="I32" s="204"/>
      <c r="J32" s="204"/>
      <c r="K32" s="204"/>
    </row>
    <row r="33" spans="1:12" ht="14.25">
      <c r="A33" s="362" t="s">
        <v>366</v>
      </c>
      <c r="B33" s="362"/>
      <c r="C33" s="362"/>
      <c r="D33" s="362"/>
      <c r="E33" s="362"/>
      <c r="F33" s="362"/>
      <c r="G33" s="362"/>
      <c r="J33" s="173"/>
      <c r="K33" s="173"/>
    </row>
    <row r="34" spans="1:12" ht="14.25">
      <c r="A34" s="362" t="s">
        <v>215</v>
      </c>
      <c r="B34" s="362"/>
      <c r="C34" s="362"/>
      <c r="D34" s="362"/>
      <c r="E34" s="362"/>
      <c r="F34" s="362"/>
      <c r="G34" s="362"/>
      <c r="J34" s="173"/>
      <c r="K34" s="173"/>
    </row>
    <row r="35" spans="1:12">
      <c r="A35" s="377" t="s">
        <v>216</v>
      </c>
      <c r="B35" s="377"/>
      <c r="C35" s="377"/>
      <c r="D35" s="377"/>
      <c r="E35" s="377"/>
      <c r="F35" s="377"/>
      <c r="G35" s="377"/>
      <c r="I35" s="173"/>
    </row>
    <row r="36" spans="1:12">
      <c r="A36" s="377" t="s">
        <v>217</v>
      </c>
      <c r="B36" s="377"/>
      <c r="C36" s="377"/>
      <c r="D36" s="377"/>
      <c r="E36" s="377"/>
      <c r="F36" s="377"/>
      <c r="G36" s="377"/>
    </row>
    <row r="37" spans="1:12" s="212" customFormat="1" ht="9.75" customHeight="1">
      <c r="A37" s="640"/>
      <c r="B37" s="640"/>
      <c r="C37" s="640"/>
      <c r="D37" s="640"/>
      <c r="E37" s="640"/>
      <c r="F37" s="640"/>
      <c r="G37" s="640"/>
      <c r="H37" s="211"/>
    </row>
    <row r="38" spans="1:12">
      <c r="A38" s="473" t="s">
        <v>49</v>
      </c>
      <c r="B38" s="474"/>
      <c r="C38" s="474"/>
      <c r="D38" s="474"/>
      <c r="E38" s="474"/>
      <c r="F38" s="474"/>
      <c r="G38" s="475"/>
    </row>
    <row r="39" spans="1:12" s="91" customFormat="1" ht="12" customHeight="1">
      <c r="A39" s="476"/>
      <c r="B39" s="362"/>
      <c r="C39" s="362"/>
      <c r="D39" s="362"/>
      <c r="E39" s="362"/>
      <c r="F39" s="362"/>
      <c r="G39" s="477"/>
      <c r="L39" s="173"/>
    </row>
    <row r="40" spans="1:12" s="91" customFormat="1" ht="13.5" customHeight="1">
      <c r="A40" s="481" t="s">
        <v>525</v>
      </c>
      <c r="B40" s="482"/>
      <c r="C40" s="482"/>
      <c r="D40" s="482"/>
      <c r="E40" s="482"/>
      <c r="F40" s="482"/>
      <c r="G40" s="483"/>
      <c r="L40" s="173"/>
    </row>
    <row r="41" spans="1:12" s="91" customFormat="1" ht="13.5" customHeight="1">
      <c r="A41" s="464" t="s">
        <v>331</v>
      </c>
      <c r="B41" s="368"/>
      <c r="C41" s="368"/>
      <c r="D41" s="368"/>
      <c r="E41" s="368"/>
      <c r="F41" s="368"/>
      <c r="G41" s="465"/>
      <c r="L41" s="173"/>
    </row>
    <row r="42" spans="1:12" s="91" customFormat="1" ht="13.5" customHeight="1">
      <c r="A42" s="464"/>
      <c r="B42" s="368"/>
      <c r="C42" s="368"/>
      <c r="D42" s="368"/>
      <c r="E42" s="368"/>
      <c r="F42" s="368"/>
      <c r="G42" s="465"/>
      <c r="L42" s="173"/>
    </row>
    <row r="43" spans="1:12" s="91" customFormat="1" ht="13.5" customHeight="1">
      <c r="A43" s="464" t="s">
        <v>362</v>
      </c>
      <c r="B43" s="368"/>
      <c r="C43" s="368"/>
      <c r="D43" s="368"/>
      <c r="E43" s="368"/>
      <c r="F43" s="368"/>
      <c r="G43" s="465"/>
      <c r="L43" s="173"/>
    </row>
    <row r="44" spans="1:12" s="91" customFormat="1" ht="13.5" customHeight="1">
      <c r="A44" s="464" t="s">
        <v>360</v>
      </c>
      <c r="B44" s="368"/>
      <c r="C44" s="368"/>
      <c r="D44" s="368"/>
      <c r="E44" s="368"/>
      <c r="F44" s="368"/>
      <c r="G44" s="465"/>
      <c r="L44" s="173"/>
    </row>
    <row r="45" spans="1:12" s="91" customFormat="1" ht="13.5" customHeight="1">
      <c r="A45" s="464" t="s">
        <v>361</v>
      </c>
      <c r="B45" s="368"/>
      <c r="C45" s="368"/>
      <c r="D45" s="368"/>
      <c r="E45" s="368"/>
      <c r="F45" s="368"/>
      <c r="G45" s="465"/>
      <c r="L45" s="173"/>
    </row>
    <row r="46" spans="1:12" s="91" customFormat="1" ht="13.5" customHeight="1">
      <c r="A46" s="464"/>
      <c r="B46" s="368"/>
      <c r="C46" s="368"/>
      <c r="D46" s="368"/>
      <c r="E46" s="368"/>
      <c r="F46" s="368"/>
      <c r="G46" s="465"/>
      <c r="L46" s="173"/>
    </row>
    <row r="47" spans="1:12" s="91" customFormat="1" ht="13.5" customHeight="1">
      <c r="A47" s="464"/>
      <c r="B47" s="368"/>
      <c r="C47" s="368"/>
      <c r="D47" s="368"/>
      <c r="E47" s="368"/>
      <c r="F47" s="368"/>
      <c r="G47" s="465"/>
      <c r="L47" s="173"/>
    </row>
    <row r="48" spans="1:12" s="91" customFormat="1" ht="13.5" customHeight="1">
      <c r="A48" s="464"/>
      <c r="B48" s="368"/>
      <c r="C48" s="368"/>
      <c r="D48" s="368"/>
      <c r="E48" s="368"/>
      <c r="F48" s="368"/>
      <c r="G48" s="465"/>
      <c r="L48" s="173"/>
    </row>
    <row r="49" spans="1:12" s="91" customFormat="1" ht="8.25" customHeight="1">
      <c r="A49" s="609"/>
      <c r="B49" s="610"/>
      <c r="C49" s="610"/>
      <c r="D49" s="610"/>
      <c r="E49" s="610"/>
      <c r="F49" s="610"/>
      <c r="G49" s="611"/>
      <c r="L49" s="173"/>
    </row>
    <row r="50" spans="1:12" s="91" customFormat="1" ht="21">
      <c r="A50" s="130" t="s">
        <v>32</v>
      </c>
      <c r="B50" s="186">
        <f>$B$1</f>
        <v>20</v>
      </c>
      <c r="C50" s="132" t="s">
        <v>40</v>
      </c>
      <c r="D50" s="133" t="str">
        <f>$E$1</f>
        <v>一日毎</v>
      </c>
      <c r="E50" s="577" t="str">
        <f>$B$2</f>
        <v>ソーズ・オヴ・ザ・マリリス</v>
      </c>
      <c r="F50" s="578"/>
      <c r="G50" s="579"/>
      <c r="L50" s="173"/>
    </row>
  </sheetData>
  <mergeCells count="49">
    <mergeCell ref="A45:G45"/>
    <mergeCell ref="A46:G46"/>
    <mergeCell ref="A49:G49"/>
    <mergeCell ref="A48:G48"/>
    <mergeCell ref="A47:G47"/>
    <mergeCell ref="A40:G40"/>
    <mergeCell ref="A41:G41"/>
    <mergeCell ref="A42:G42"/>
    <mergeCell ref="A43:G43"/>
    <mergeCell ref="A44:G44"/>
    <mergeCell ref="A34:G34"/>
    <mergeCell ref="A35:G35"/>
    <mergeCell ref="A36:G36"/>
    <mergeCell ref="F20:G20"/>
    <mergeCell ref="A22:A25"/>
    <mergeCell ref="A31:G31"/>
    <mergeCell ref="A33:G33"/>
    <mergeCell ref="A20:C21"/>
    <mergeCell ref="D20:E20"/>
    <mergeCell ref="A30:G30"/>
    <mergeCell ref="A26:A27"/>
    <mergeCell ref="E50:G50"/>
    <mergeCell ref="A38:G38"/>
    <mergeCell ref="A39:G39"/>
    <mergeCell ref="J11:K11"/>
    <mergeCell ref="B12:G12"/>
    <mergeCell ref="B13:G13"/>
    <mergeCell ref="B14:G14"/>
    <mergeCell ref="B18:G18"/>
    <mergeCell ref="B15:G15"/>
    <mergeCell ref="B16:G16"/>
    <mergeCell ref="B17:G17"/>
    <mergeCell ref="B11:G11"/>
    <mergeCell ref="A32:G32"/>
    <mergeCell ref="C22:C25"/>
    <mergeCell ref="A28:A29"/>
    <mergeCell ref="A37:G37"/>
    <mergeCell ref="J9:K9"/>
    <mergeCell ref="B10:G10"/>
    <mergeCell ref="B1:C1"/>
    <mergeCell ref="F1:G1"/>
    <mergeCell ref="B2:G2"/>
    <mergeCell ref="B4:G4"/>
    <mergeCell ref="H4:L4"/>
    <mergeCell ref="B5:G5"/>
    <mergeCell ref="B6:D6"/>
    <mergeCell ref="B7:D7"/>
    <mergeCell ref="B8:G8"/>
    <mergeCell ref="B9:G9"/>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基本!$C$27:$C$37</xm:f>
          </x14:formula1>
          <xm:sqref>I15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2"/>
  <sheetViews>
    <sheetView zoomScaleNormal="100" workbookViewId="0">
      <selection activeCell="A2" sqref="A2:N2"/>
    </sheetView>
  </sheetViews>
  <sheetFormatPr defaultColWidth="9" defaultRowHeight="13.5"/>
  <cols>
    <col min="1" max="1" width="8.75" style="173" customWidth="1"/>
    <col min="2" max="2" width="17.5" style="173" customWidth="1"/>
    <col min="3" max="3" width="7.75" style="173" bestFit="1" customWidth="1"/>
    <col min="4" max="4" width="4.75" style="173" bestFit="1" customWidth="1"/>
    <col min="5" max="6" width="4" style="271" customWidth="1"/>
    <col min="7" max="7" width="5.5" style="91" customWidth="1"/>
    <col min="8" max="13" width="4" style="91" customWidth="1"/>
    <col min="14" max="14" width="11.25" style="91" customWidth="1"/>
    <col min="15" max="15" width="7.875" style="173" customWidth="1"/>
    <col min="16" max="16384" width="9" style="173"/>
  </cols>
  <sheetData>
    <row r="2" spans="1:14" ht="24.75" customHeight="1">
      <c r="A2" s="397" t="s">
        <v>426</v>
      </c>
      <c r="B2" s="397"/>
      <c r="C2" s="397"/>
      <c r="D2" s="397"/>
      <c r="E2" s="397"/>
      <c r="F2" s="397"/>
      <c r="G2" s="397"/>
      <c r="H2" s="397"/>
      <c r="I2" s="397"/>
      <c r="J2" s="397"/>
      <c r="K2" s="397"/>
      <c r="L2" s="397"/>
      <c r="M2" s="397"/>
      <c r="N2" s="397"/>
    </row>
    <row r="3" spans="1:14" ht="12" customHeight="1">
      <c r="A3" s="266"/>
      <c r="B3" s="266"/>
      <c r="C3" s="266"/>
      <c r="D3" s="266"/>
      <c r="F3" s="272"/>
      <c r="G3" s="266"/>
      <c r="N3" s="266"/>
    </row>
    <row r="4" spans="1:14" ht="24.75" customHeight="1">
      <c r="A4" s="266"/>
      <c r="B4" s="244" t="s">
        <v>377</v>
      </c>
      <c r="C4" s="245">
        <v>0</v>
      </c>
      <c r="D4" s="266"/>
      <c r="F4" s="272"/>
      <c r="G4" s="266"/>
      <c r="N4" s="266"/>
    </row>
    <row r="5" spans="1:14" ht="17.25" customHeight="1">
      <c r="A5" s="266"/>
      <c r="B5" s="266"/>
      <c r="C5" s="266"/>
      <c r="D5" s="266"/>
      <c r="F5" s="272"/>
      <c r="G5" s="266"/>
      <c r="N5" s="266"/>
    </row>
    <row r="6" spans="1:14" ht="17.25" customHeight="1">
      <c r="A6" s="398" t="s">
        <v>34</v>
      </c>
      <c r="B6" s="399" t="s">
        <v>423</v>
      </c>
      <c r="C6" s="400" t="s">
        <v>378</v>
      </c>
      <c r="D6" s="401"/>
      <c r="E6" s="404" t="s">
        <v>418</v>
      </c>
      <c r="F6" s="406" t="s">
        <v>415</v>
      </c>
      <c r="G6" s="404" t="s">
        <v>379</v>
      </c>
      <c r="H6" s="408" t="s">
        <v>380</v>
      </c>
      <c r="I6" s="406"/>
      <c r="J6" s="406"/>
      <c r="K6" s="406"/>
      <c r="L6" s="406"/>
      <c r="M6" s="409"/>
      <c r="N6" s="410" t="s">
        <v>424</v>
      </c>
    </row>
    <row r="7" spans="1:14" ht="60" customHeight="1">
      <c r="A7" s="398"/>
      <c r="B7" s="399"/>
      <c r="C7" s="402"/>
      <c r="D7" s="403"/>
      <c r="E7" s="405"/>
      <c r="F7" s="407"/>
      <c r="G7" s="405"/>
      <c r="H7" s="273" t="s">
        <v>413</v>
      </c>
      <c r="I7" s="274" t="s">
        <v>410</v>
      </c>
      <c r="J7" s="275" t="s">
        <v>411</v>
      </c>
      <c r="K7" s="275" t="s">
        <v>84</v>
      </c>
      <c r="L7" s="276" t="s">
        <v>97</v>
      </c>
      <c r="M7" s="277" t="s">
        <v>414</v>
      </c>
      <c r="N7" s="411"/>
    </row>
    <row r="8" spans="1:14" s="306" customFormat="1" ht="23.45" customHeight="1">
      <c r="A8" s="300">
        <f t="shared" ref="A8" si="0">SUM(D8:H8)</f>
        <v>15</v>
      </c>
      <c r="B8" s="301" t="s">
        <v>425</v>
      </c>
      <c r="C8" s="252" t="s">
        <v>386</v>
      </c>
      <c r="D8" s="253">
        <f>VLOOKUP("敏捷力",基本!$A$5:'基本'!$D$10,4,FALSE)</f>
        <v>13</v>
      </c>
      <c r="E8" s="281">
        <v>2</v>
      </c>
      <c r="F8" s="250"/>
      <c r="G8" s="250"/>
      <c r="H8" s="302">
        <f t="shared" ref="H8" si="1">SUM(I8:M8)</f>
        <v>0</v>
      </c>
      <c r="I8" s="303"/>
      <c r="J8" s="303"/>
      <c r="K8" s="303"/>
      <c r="L8" s="303"/>
      <c r="M8" s="304"/>
      <c r="N8" s="305"/>
    </row>
    <row r="9" spans="1:14" ht="23.45" customHeight="1">
      <c r="A9" s="246">
        <f t="shared" ref="A9:A25" si="2">SUM(D9:H9)</f>
        <v>14</v>
      </c>
      <c r="B9" s="247" t="s">
        <v>381</v>
      </c>
      <c r="C9" s="248" t="s">
        <v>382</v>
      </c>
      <c r="D9" s="249">
        <f>VLOOKUP("魅力",基本!$A$5:'基本'!$D$10,4,FALSE)</f>
        <v>14</v>
      </c>
      <c r="E9" s="278"/>
      <c r="F9" s="279"/>
      <c r="G9" s="250"/>
      <c r="H9" s="248">
        <f>SUM(I9:M9)</f>
        <v>0</v>
      </c>
      <c r="I9" s="287"/>
      <c r="J9" s="287"/>
      <c r="K9" s="287"/>
      <c r="L9" s="287"/>
      <c r="M9" s="288"/>
      <c r="N9" s="421" t="s">
        <v>417</v>
      </c>
    </row>
    <row r="10" spans="1:14" ht="23.45" customHeight="1">
      <c r="A10" s="246">
        <f t="shared" si="2"/>
        <v>15</v>
      </c>
      <c r="B10" s="251" t="s">
        <v>383</v>
      </c>
      <c r="C10" s="252" t="s">
        <v>384</v>
      </c>
      <c r="D10" s="253">
        <f>VLOOKUP("筋力",基本!$A$5:'基本'!$D$10,4,FALSE)</f>
        <v>8</v>
      </c>
      <c r="E10" s="278"/>
      <c r="F10" s="280">
        <v>5</v>
      </c>
      <c r="G10" s="254">
        <f>$C$4</f>
        <v>0</v>
      </c>
      <c r="H10" s="263">
        <f t="shared" ref="H10:H12" si="3">SUM(I10:M10)</f>
        <v>2</v>
      </c>
      <c r="I10" s="289">
        <v>2</v>
      </c>
      <c r="J10" s="289"/>
      <c r="K10" s="289"/>
      <c r="L10" s="289"/>
      <c r="M10" s="290"/>
      <c r="N10" s="421"/>
    </row>
    <row r="11" spans="1:14" ht="23.45" customHeight="1">
      <c r="A11" s="246">
        <f t="shared" si="2"/>
        <v>15</v>
      </c>
      <c r="B11" s="251" t="s">
        <v>385</v>
      </c>
      <c r="C11" s="252" t="s">
        <v>386</v>
      </c>
      <c r="D11" s="253">
        <f>VLOOKUP("敏捷力",基本!$A$5:'基本'!$D$10,4,FALSE)</f>
        <v>13</v>
      </c>
      <c r="E11" s="278"/>
      <c r="F11" s="280"/>
      <c r="G11" s="254">
        <f>$C$4</f>
        <v>0</v>
      </c>
      <c r="H11" s="263">
        <f t="shared" si="3"/>
        <v>2</v>
      </c>
      <c r="I11" s="289">
        <v>2</v>
      </c>
      <c r="J11" s="289"/>
      <c r="K11" s="289"/>
      <c r="L11" s="289"/>
      <c r="M11" s="290"/>
      <c r="N11" s="421"/>
    </row>
    <row r="12" spans="1:14" ht="23.45" customHeight="1">
      <c r="A12" s="246">
        <f t="shared" si="2"/>
        <v>17</v>
      </c>
      <c r="B12" s="251" t="s">
        <v>387</v>
      </c>
      <c r="C12" s="252" t="s">
        <v>386</v>
      </c>
      <c r="D12" s="253">
        <f>VLOOKUP("敏捷力",基本!$A$5:'基本'!$D$10,4,FALSE)</f>
        <v>13</v>
      </c>
      <c r="E12" s="278"/>
      <c r="F12" s="280"/>
      <c r="G12" s="254">
        <f>$C$4</f>
        <v>0</v>
      </c>
      <c r="H12" s="263">
        <f t="shared" si="3"/>
        <v>4</v>
      </c>
      <c r="I12" s="289">
        <v>2</v>
      </c>
      <c r="J12" s="289">
        <v>2</v>
      </c>
      <c r="K12" s="289"/>
      <c r="L12" s="289"/>
      <c r="M12" s="290"/>
      <c r="N12" s="421"/>
    </row>
    <row r="13" spans="1:14" ht="23.45" customHeight="1">
      <c r="A13" s="265">
        <f t="shared" si="2"/>
        <v>9</v>
      </c>
      <c r="B13" s="251" t="s">
        <v>388</v>
      </c>
      <c r="C13" s="252" t="s">
        <v>389</v>
      </c>
      <c r="D13" s="253">
        <f>VLOOKUP("判断力",基本!$A$5:'基本'!$D$10,4,FALSE)</f>
        <v>7</v>
      </c>
      <c r="E13" s="281">
        <v>2</v>
      </c>
      <c r="F13" s="280"/>
      <c r="G13" s="255"/>
      <c r="H13" s="263">
        <f t="shared" ref="H13:H25" si="4">SUM(I13:M13)</f>
        <v>0</v>
      </c>
      <c r="I13" s="289"/>
      <c r="J13" s="289"/>
      <c r="K13" s="289"/>
      <c r="L13" s="289"/>
      <c r="M13" s="290"/>
      <c r="N13" s="421"/>
    </row>
    <row r="14" spans="1:14" ht="23.45" customHeight="1">
      <c r="A14" s="265">
        <f t="shared" si="2"/>
        <v>15</v>
      </c>
      <c r="B14" s="251" t="s">
        <v>390</v>
      </c>
      <c r="C14" s="252" t="s">
        <v>382</v>
      </c>
      <c r="D14" s="253">
        <f>VLOOKUP("魅力",基本!$A$5:'基本'!$D$10,4,FALSE)</f>
        <v>14</v>
      </c>
      <c r="E14" s="281">
        <v>1</v>
      </c>
      <c r="F14" s="280"/>
      <c r="G14" s="255"/>
      <c r="H14" s="263">
        <f t="shared" si="4"/>
        <v>0</v>
      </c>
      <c r="I14" s="289"/>
      <c r="J14" s="289"/>
      <c r="K14" s="289"/>
      <c r="L14" s="289"/>
      <c r="M14" s="290"/>
      <c r="N14" s="421"/>
    </row>
    <row r="15" spans="1:14" ht="23.45" customHeight="1">
      <c r="A15" s="246">
        <f t="shared" si="2"/>
        <v>10</v>
      </c>
      <c r="B15" s="251" t="s">
        <v>391</v>
      </c>
      <c r="C15" s="252" t="s">
        <v>392</v>
      </c>
      <c r="D15" s="253">
        <f>VLOOKUP("耐久力",基本!$A$5:'基本'!$D$10,4,FALSE)</f>
        <v>10</v>
      </c>
      <c r="E15" s="278"/>
      <c r="F15" s="280"/>
      <c r="G15" s="254">
        <f>$C$4</f>
        <v>0</v>
      </c>
      <c r="H15" s="263">
        <f t="shared" si="4"/>
        <v>0</v>
      </c>
      <c r="I15" s="289"/>
      <c r="J15" s="289"/>
      <c r="K15" s="289"/>
      <c r="L15" s="289"/>
      <c r="M15" s="290"/>
      <c r="N15" s="421"/>
    </row>
    <row r="16" spans="1:14" ht="23.45" customHeight="1">
      <c r="A16" s="246">
        <f t="shared" si="2"/>
        <v>14</v>
      </c>
      <c r="B16" s="251" t="s">
        <v>393</v>
      </c>
      <c r="C16" s="252" t="s">
        <v>382</v>
      </c>
      <c r="D16" s="253">
        <f>VLOOKUP("魅力",基本!$A$5:'基本'!$D$10,4,FALSE)</f>
        <v>14</v>
      </c>
      <c r="E16" s="278"/>
      <c r="F16" s="280"/>
      <c r="G16" s="255"/>
      <c r="H16" s="263">
        <f t="shared" si="4"/>
        <v>0</v>
      </c>
      <c r="I16" s="289"/>
      <c r="J16" s="289"/>
      <c r="K16" s="289"/>
      <c r="L16" s="289"/>
      <c r="M16" s="290"/>
      <c r="N16" s="421"/>
    </row>
    <row r="17" spans="1:15" ht="23.45" customHeight="1">
      <c r="A17" s="246">
        <f t="shared" si="2"/>
        <v>7</v>
      </c>
      <c r="B17" s="251" t="s">
        <v>394</v>
      </c>
      <c r="C17" s="252" t="s">
        <v>389</v>
      </c>
      <c r="D17" s="253">
        <f>VLOOKUP("判断力",基本!$A$5:'基本'!$D$10,4,FALSE)</f>
        <v>7</v>
      </c>
      <c r="E17" s="278"/>
      <c r="F17" s="280"/>
      <c r="G17" s="255"/>
      <c r="H17" s="263">
        <f t="shared" si="4"/>
        <v>0</v>
      </c>
      <c r="I17" s="289"/>
      <c r="J17" s="289"/>
      <c r="K17" s="289"/>
      <c r="L17" s="289"/>
      <c r="M17" s="290"/>
      <c r="N17" s="421"/>
    </row>
    <row r="18" spans="1:15" ht="23.45" customHeight="1">
      <c r="A18" s="246">
        <f t="shared" si="2"/>
        <v>8</v>
      </c>
      <c r="B18" s="251" t="s">
        <v>395</v>
      </c>
      <c r="C18" s="252" t="s">
        <v>396</v>
      </c>
      <c r="D18" s="253">
        <f>VLOOKUP("知力",基本!$A$5:'基本'!$D$10,4,FALSE)</f>
        <v>8</v>
      </c>
      <c r="E18" s="278"/>
      <c r="F18" s="280"/>
      <c r="G18" s="255"/>
      <c r="H18" s="263">
        <f t="shared" si="4"/>
        <v>0</v>
      </c>
      <c r="I18" s="289"/>
      <c r="J18" s="289"/>
      <c r="K18" s="289"/>
      <c r="L18" s="289"/>
      <c r="M18" s="290"/>
      <c r="N18" s="421"/>
      <c r="O18" s="105"/>
    </row>
    <row r="19" spans="1:15" ht="23.45" customHeight="1">
      <c r="A19" s="265">
        <f t="shared" si="2"/>
        <v>9</v>
      </c>
      <c r="B19" s="251" t="s">
        <v>397</v>
      </c>
      <c r="C19" s="252" t="s">
        <v>389</v>
      </c>
      <c r="D19" s="253">
        <f>VLOOKUP("判断力",基本!$A$5:'基本'!$D$10,4,FALSE)</f>
        <v>7</v>
      </c>
      <c r="E19" s="281">
        <v>2</v>
      </c>
      <c r="F19" s="280"/>
      <c r="G19" s="255"/>
      <c r="H19" s="263">
        <f t="shared" si="4"/>
        <v>0</v>
      </c>
      <c r="I19" s="289"/>
      <c r="J19" s="289"/>
      <c r="K19" s="289"/>
      <c r="L19" s="289"/>
      <c r="M19" s="290"/>
      <c r="N19" s="421"/>
      <c r="O19" s="105"/>
    </row>
    <row r="20" spans="1:15" ht="23.45" customHeight="1">
      <c r="A20" s="246">
        <f t="shared" si="2"/>
        <v>7</v>
      </c>
      <c r="B20" s="251" t="s">
        <v>398</v>
      </c>
      <c r="C20" s="252" t="s">
        <v>389</v>
      </c>
      <c r="D20" s="253">
        <f>VLOOKUP("判断力",基本!$A$5:'基本'!$D$10,4,FALSE)</f>
        <v>7</v>
      </c>
      <c r="E20" s="278"/>
      <c r="F20" s="280"/>
      <c r="G20" s="255"/>
      <c r="H20" s="263">
        <f t="shared" si="4"/>
        <v>0</v>
      </c>
      <c r="I20" s="289"/>
      <c r="J20" s="289"/>
      <c r="K20" s="289"/>
      <c r="L20" s="289"/>
      <c r="M20" s="290"/>
      <c r="N20" s="421"/>
    </row>
    <row r="21" spans="1:15" ht="23.45" customHeight="1">
      <c r="A21" s="246">
        <f t="shared" si="2"/>
        <v>7</v>
      </c>
      <c r="B21" s="251" t="s">
        <v>399</v>
      </c>
      <c r="C21" s="252" t="s">
        <v>389</v>
      </c>
      <c r="D21" s="253">
        <f>VLOOKUP("判断力",基本!$A$5:'基本'!$D$10,4,FALSE)</f>
        <v>7</v>
      </c>
      <c r="E21" s="278"/>
      <c r="F21" s="280"/>
      <c r="G21" s="255"/>
      <c r="H21" s="263">
        <f t="shared" si="4"/>
        <v>0</v>
      </c>
      <c r="I21" s="289"/>
      <c r="J21" s="289"/>
      <c r="K21" s="289"/>
      <c r="L21" s="289"/>
      <c r="M21" s="290"/>
      <c r="N21" s="421"/>
    </row>
    <row r="22" spans="1:15" ht="23.45" customHeight="1">
      <c r="A22" s="246">
        <f t="shared" si="2"/>
        <v>23</v>
      </c>
      <c r="B22" s="251" t="s">
        <v>400</v>
      </c>
      <c r="C22" s="252" t="s">
        <v>386</v>
      </c>
      <c r="D22" s="253">
        <f>VLOOKUP("敏捷力",基本!$A$5:'基本'!$D$10,4,FALSE)</f>
        <v>13</v>
      </c>
      <c r="E22" s="278"/>
      <c r="F22" s="280">
        <v>5</v>
      </c>
      <c r="G22" s="254">
        <f>$C$4</f>
        <v>0</v>
      </c>
      <c r="H22" s="263">
        <f t="shared" si="4"/>
        <v>5</v>
      </c>
      <c r="I22" s="289">
        <v>1</v>
      </c>
      <c r="J22" s="289">
        <v>2</v>
      </c>
      <c r="K22" s="289"/>
      <c r="L22" s="289"/>
      <c r="M22" s="290">
        <v>2</v>
      </c>
      <c r="N22" s="421"/>
    </row>
    <row r="23" spans="1:15" ht="23.45" customHeight="1">
      <c r="A23" s="246">
        <f t="shared" si="2"/>
        <v>19</v>
      </c>
      <c r="B23" s="251" t="s">
        <v>401</v>
      </c>
      <c r="C23" s="252" t="s">
        <v>382</v>
      </c>
      <c r="D23" s="253">
        <f>VLOOKUP("魅力",基本!$A$5:'基本'!$D$10,4,FALSE)</f>
        <v>14</v>
      </c>
      <c r="E23" s="278"/>
      <c r="F23" s="280">
        <v>5</v>
      </c>
      <c r="G23" s="255"/>
      <c r="H23" s="263">
        <f t="shared" si="4"/>
        <v>0</v>
      </c>
      <c r="I23" s="289"/>
      <c r="J23" s="289"/>
      <c r="K23" s="289"/>
      <c r="L23" s="289"/>
      <c r="M23" s="290"/>
      <c r="N23" s="421"/>
    </row>
    <row r="24" spans="1:15" ht="23.45" customHeight="1">
      <c r="A24" s="246">
        <f t="shared" si="2"/>
        <v>13</v>
      </c>
      <c r="B24" s="251" t="s">
        <v>402</v>
      </c>
      <c r="C24" s="252" t="s">
        <v>396</v>
      </c>
      <c r="D24" s="253">
        <f>VLOOKUP("知力",基本!$A$5:'基本'!$D$10,4,FALSE)</f>
        <v>8</v>
      </c>
      <c r="E24" s="278"/>
      <c r="F24" s="280">
        <v>5</v>
      </c>
      <c r="G24" s="255"/>
      <c r="H24" s="263">
        <f t="shared" si="4"/>
        <v>0</v>
      </c>
      <c r="I24" s="289"/>
      <c r="J24" s="289"/>
      <c r="K24" s="289">
        <v>0</v>
      </c>
      <c r="L24" s="289"/>
      <c r="M24" s="290"/>
      <c r="N24" s="421"/>
    </row>
    <row r="25" spans="1:15" ht="23.45" customHeight="1">
      <c r="A25" s="256">
        <f t="shared" si="2"/>
        <v>8</v>
      </c>
      <c r="B25" s="257" t="s">
        <v>403</v>
      </c>
      <c r="C25" s="258" t="s">
        <v>396</v>
      </c>
      <c r="D25" s="259">
        <f>VLOOKUP("知力",基本!$A$5:'基本'!$D$10,4,FALSE)</f>
        <v>8</v>
      </c>
      <c r="E25" s="282"/>
      <c r="F25" s="283"/>
      <c r="G25" s="260"/>
      <c r="H25" s="264">
        <f t="shared" si="4"/>
        <v>0</v>
      </c>
      <c r="I25" s="291"/>
      <c r="J25" s="291"/>
      <c r="K25" s="291"/>
      <c r="L25" s="291"/>
      <c r="M25" s="292"/>
      <c r="N25" s="422"/>
    </row>
    <row r="26" spans="1:15" ht="23.25" customHeight="1">
      <c r="E26" s="284"/>
      <c r="H26" s="173"/>
      <c r="I26" s="173"/>
      <c r="J26" s="173"/>
      <c r="K26" s="173"/>
      <c r="L26" s="173"/>
      <c r="M26" s="173"/>
    </row>
    <row r="27" spans="1:15" ht="24">
      <c r="A27" s="397" t="s">
        <v>416</v>
      </c>
      <c r="B27" s="397"/>
      <c r="C27" s="397"/>
      <c r="D27" s="397"/>
      <c r="E27" s="397"/>
      <c r="F27" s="397"/>
      <c r="G27" s="397"/>
      <c r="H27" s="397"/>
      <c r="I27" s="397"/>
      <c r="J27" s="397"/>
      <c r="K27" s="397"/>
      <c r="L27" s="397"/>
      <c r="M27" s="397"/>
      <c r="N27" s="397"/>
    </row>
    <row r="28" spans="1:15" ht="15" customHeight="1">
      <c r="A28" s="266"/>
      <c r="B28" s="266"/>
      <c r="C28" s="266"/>
      <c r="D28" s="266"/>
      <c r="E28" s="272"/>
      <c r="F28" s="272"/>
      <c r="G28" s="266"/>
      <c r="H28" s="266"/>
      <c r="I28" s="266"/>
      <c r="J28" s="266"/>
      <c r="K28" s="266"/>
      <c r="L28" s="266"/>
      <c r="M28" s="266"/>
      <c r="N28" s="266"/>
    </row>
    <row r="29" spans="1:15" ht="15" customHeight="1">
      <c r="A29" s="432" t="s">
        <v>404</v>
      </c>
      <c r="B29" s="432" t="s">
        <v>405</v>
      </c>
      <c r="C29" s="432" t="s">
        <v>406</v>
      </c>
      <c r="D29" s="432"/>
      <c r="E29" s="433" t="s">
        <v>407</v>
      </c>
      <c r="F29" s="433"/>
      <c r="G29" s="434" t="s">
        <v>380</v>
      </c>
      <c r="H29" s="406"/>
      <c r="I29" s="406"/>
      <c r="J29" s="406"/>
      <c r="K29" s="406"/>
      <c r="L29" s="406"/>
      <c r="M29" s="409"/>
      <c r="N29" s="410" t="s">
        <v>412</v>
      </c>
    </row>
    <row r="30" spans="1:15" ht="13.5" customHeight="1">
      <c r="A30" s="432"/>
      <c r="B30" s="432"/>
      <c r="C30" s="432"/>
      <c r="D30" s="432"/>
      <c r="E30" s="433"/>
      <c r="F30" s="433"/>
      <c r="G30" s="267" t="s">
        <v>413</v>
      </c>
      <c r="H30" s="435" t="s">
        <v>410</v>
      </c>
      <c r="I30" s="436"/>
      <c r="J30" s="437" t="s">
        <v>84</v>
      </c>
      <c r="K30" s="436"/>
      <c r="L30" s="437" t="s">
        <v>414</v>
      </c>
      <c r="M30" s="438"/>
      <c r="N30" s="411"/>
    </row>
    <row r="31" spans="1:15" ht="30" customHeight="1">
      <c r="A31" s="265">
        <f>SUM(C31:G31)</f>
        <v>19</v>
      </c>
      <c r="B31" s="261" t="s">
        <v>408</v>
      </c>
      <c r="C31" s="423">
        <f>$A$13</f>
        <v>9</v>
      </c>
      <c r="D31" s="424"/>
      <c r="E31" s="425">
        <v>10</v>
      </c>
      <c r="F31" s="426"/>
      <c r="G31" s="286">
        <f>SUM(H31:M31)</f>
        <v>0</v>
      </c>
      <c r="H31" s="427"/>
      <c r="I31" s="428"/>
      <c r="J31" s="429"/>
      <c r="K31" s="430"/>
      <c r="L31" s="429"/>
      <c r="M31" s="431"/>
      <c r="N31" s="268"/>
    </row>
    <row r="32" spans="1:15" ht="27.75" customHeight="1">
      <c r="A32" s="269">
        <f>SUM(C32:G32)</f>
        <v>19</v>
      </c>
      <c r="B32" s="262" t="s">
        <v>409</v>
      </c>
      <c r="C32" s="412">
        <f>$A$19</f>
        <v>9</v>
      </c>
      <c r="D32" s="413"/>
      <c r="E32" s="414">
        <v>10</v>
      </c>
      <c r="F32" s="415"/>
      <c r="G32" s="285">
        <f>SUM(H32:M32)</f>
        <v>0</v>
      </c>
      <c r="H32" s="416"/>
      <c r="I32" s="417"/>
      <c r="J32" s="418"/>
      <c r="K32" s="419"/>
      <c r="L32" s="418"/>
      <c r="M32" s="420"/>
      <c r="N32" s="270"/>
    </row>
    <row r="33" spans="1:13">
      <c r="E33" s="284"/>
      <c r="H33" s="173"/>
      <c r="I33" s="173"/>
      <c r="J33" s="173"/>
      <c r="K33" s="173"/>
      <c r="L33" s="173"/>
      <c r="M33" s="173"/>
    </row>
    <row r="34" spans="1:13" ht="13.5" customHeight="1"/>
    <row r="35" spans="1:13" ht="13.5" customHeight="1"/>
    <row r="36" spans="1:13">
      <c r="E36" s="284"/>
      <c r="H36" s="173"/>
      <c r="I36" s="173"/>
      <c r="J36" s="173"/>
      <c r="K36" s="173"/>
      <c r="L36" s="173"/>
      <c r="M36" s="173"/>
    </row>
    <row r="37" spans="1:13" ht="13.5" customHeight="1"/>
    <row r="38" spans="1:13" ht="13.5" customHeight="1"/>
    <row r="39" spans="1:13">
      <c r="E39" s="284"/>
      <c r="H39" s="173"/>
      <c r="I39" s="173"/>
      <c r="J39" s="173"/>
      <c r="K39" s="173"/>
      <c r="L39" s="173"/>
      <c r="M39" s="173"/>
    </row>
    <row r="40" spans="1:13" ht="13.5" customHeight="1"/>
    <row r="41" spans="1:13" ht="13.5" customHeight="1"/>
    <row r="44" spans="1:13" s="91" customFormat="1" ht="13.5" customHeight="1">
      <c r="A44" s="173"/>
      <c r="B44" s="173"/>
      <c r="C44" s="173"/>
      <c r="D44" s="173"/>
      <c r="E44" s="271"/>
      <c r="F44" s="271"/>
    </row>
    <row r="45" spans="1:13" s="91" customFormat="1" ht="13.5" customHeight="1">
      <c r="A45" s="173"/>
      <c r="B45" s="173"/>
      <c r="C45" s="173"/>
      <c r="D45" s="173"/>
      <c r="E45" s="271"/>
      <c r="F45" s="271"/>
    </row>
    <row r="46" spans="1:13" s="91" customFormat="1" ht="13.5" customHeight="1">
      <c r="A46" s="173"/>
      <c r="B46" s="173"/>
      <c r="C46" s="173"/>
      <c r="D46" s="173"/>
      <c r="E46" s="271"/>
      <c r="F46" s="271"/>
    </row>
    <row r="47" spans="1:13" s="91" customFormat="1" ht="13.5" customHeight="1">
      <c r="A47" s="173"/>
      <c r="B47" s="173"/>
      <c r="C47" s="173"/>
      <c r="D47" s="173"/>
      <c r="E47" s="271"/>
      <c r="F47" s="271"/>
    </row>
    <row r="48" spans="1:13" s="91" customFormat="1" ht="13.5" customHeight="1">
      <c r="A48" s="173"/>
      <c r="B48" s="173"/>
      <c r="C48" s="173"/>
      <c r="D48" s="173"/>
      <c r="E48" s="271"/>
      <c r="F48" s="271"/>
    </row>
    <row r="49" spans="1:6" s="91" customFormat="1" ht="13.5" customHeight="1">
      <c r="A49" s="173"/>
      <c r="B49" s="173"/>
      <c r="C49" s="173"/>
      <c r="D49" s="173"/>
      <c r="E49" s="271"/>
      <c r="F49" s="271"/>
    </row>
    <row r="50" spans="1:6" s="91" customFormat="1" ht="13.5" customHeight="1">
      <c r="A50" s="173"/>
      <c r="B50" s="173"/>
      <c r="C50" s="173"/>
      <c r="D50" s="173"/>
      <c r="E50" s="271"/>
      <c r="F50" s="271"/>
    </row>
    <row r="51" spans="1:6" s="91" customFormat="1" ht="13.5" customHeight="1">
      <c r="A51" s="173"/>
      <c r="B51" s="173"/>
      <c r="C51" s="173"/>
      <c r="D51" s="173"/>
      <c r="E51" s="271"/>
      <c r="F51" s="271"/>
    </row>
    <row r="52" spans="1:6" s="91" customFormat="1" ht="13.5" customHeight="1">
      <c r="A52" s="173"/>
      <c r="B52" s="173"/>
      <c r="C52" s="173"/>
      <c r="D52" s="173"/>
      <c r="E52" s="271"/>
      <c r="F52" s="271"/>
    </row>
    <row r="53" spans="1:6" s="91" customFormat="1" ht="13.5" customHeight="1">
      <c r="A53" s="173"/>
      <c r="B53" s="173"/>
      <c r="C53" s="173"/>
      <c r="D53" s="173"/>
      <c r="E53" s="271"/>
      <c r="F53" s="271"/>
    </row>
    <row r="54" spans="1:6" s="91" customFormat="1" ht="13.5" customHeight="1">
      <c r="A54" s="173"/>
      <c r="B54" s="173"/>
      <c r="C54" s="173"/>
      <c r="D54" s="173"/>
      <c r="E54" s="271"/>
      <c r="F54" s="271"/>
    </row>
    <row r="55" spans="1:6" s="91" customFormat="1" ht="13.5" customHeight="1">
      <c r="A55" s="173"/>
      <c r="B55" s="173"/>
      <c r="C55" s="173"/>
      <c r="D55" s="173"/>
      <c r="E55" s="271"/>
      <c r="F55" s="271"/>
    </row>
    <row r="56" spans="1:6" s="91" customFormat="1" ht="13.5" customHeight="1">
      <c r="A56" s="173"/>
      <c r="B56" s="173"/>
      <c r="C56" s="173"/>
      <c r="D56" s="173"/>
      <c r="E56" s="271"/>
      <c r="F56" s="271"/>
    </row>
    <row r="57" spans="1:6" s="91" customFormat="1" ht="13.5" customHeight="1">
      <c r="A57" s="173"/>
      <c r="B57" s="173"/>
      <c r="C57" s="173"/>
      <c r="D57" s="173"/>
      <c r="E57" s="271"/>
      <c r="F57" s="271"/>
    </row>
    <row r="58" spans="1:6" s="91" customFormat="1" ht="13.5" customHeight="1">
      <c r="A58" s="173"/>
      <c r="B58" s="173"/>
      <c r="C58" s="173"/>
      <c r="D58" s="173"/>
      <c r="E58" s="271"/>
      <c r="F58" s="271"/>
    </row>
    <row r="59" spans="1:6" s="91" customFormat="1" ht="13.5" customHeight="1">
      <c r="A59" s="173"/>
      <c r="B59" s="173"/>
      <c r="C59" s="173"/>
      <c r="D59" s="173"/>
      <c r="E59" s="271"/>
      <c r="F59" s="271"/>
    </row>
    <row r="60" spans="1:6" s="91" customFormat="1" ht="13.5" customHeight="1">
      <c r="A60" s="173"/>
      <c r="B60" s="173"/>
      <c r="C60" s="173"/>
      <c r="D60" s="173"/>
      <c r="E60" s="271"/>
      <c r="F60" s="271"/>
    </row>
    <row r="61" spans="1:6" s="91" customFormat="1" ht="13.5" customHeight="1">
      <c r="A61" s="173"/>
      <c r="B61" s="173"/>
      <c r="C61" s="173"/>
      <c r="D61" s="173"/>
      <c r="E61" s="271"/>
      <c r="F61" s="271"/>
    </row>
    <row r="62" spans="1:6" s="91" customFormat="1">
      <c r="A62" s="173"/>
      <c r="B62" s="173"/>
      <c r="C62" s="173"/>
      <c r="D62" s="173"/>
      <c r="E62" s="271"/>
      <c r="F62" s="271"/>
    </row>
  </sheetData>
  <mergeCells count="30">
    <mergeCell ref="N9:N25"/>
    <mergeCell ref="C31:D31"/>
    <mergeCell ref="E31:F31"/>
    <mergeCell ref="H31:I31"/>
    <mergeCell ref="J31:K31"/>
    <mergeCell ref="L31:M31"/>
    <mergeCell ref="A27:N27"/>
    <mergeCell ref="A29:A30"/>
    <mergeCell ref="B29:B30"/>
    <mergeCell ref="C29:D30"/>
    <mergeCell ref="E29:F30"/>
    <mergeCell ref="G29:M29"/>
    <mergeCell ref="N29:N30"/>
    <mergeCell ref="H30:I30"/>
    <mergeCell ref="J30:K30"/>
    <mergeCell ref="L30:M30"/>
    <mergeCell ref="C32:D32"/>
    <mergeCell ref="E32:F32"/>
    <mergeCell ref="H32:I32"/>
    <mergeCell ref="J32:K32"/>
    <mergeCell ref="L32:M32"/>
    <mergeCell ref="A2:N2"/>
    <mergeCell ref="A6:A7"/>
    <mergeCell ref="B6:B7"/>
    <mergeCell ref="C6:D7"/>
    <mergeCell ref="E6:E7"/>
    <mergeCell ref="F6:F7"/>
    <mergeCell ref="G6:G7"/>
    <mergeCell ref="H6:M6"/>
    <mergeCell ref="N6:N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&amp;Cイーライ&amp;R&amp;D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53"/>
  <sheetViews>
    <sheetView zoomScaleNormal="100" workbookViewId="0">
      <selection activeCell="B2" sqref="B2:G2"/>
    </sheetView>
  </sheetViews>
  <sheetFormatPr defaultColWidth="9" defaultRowHeight="13.5"/>
  <cols>
    <col min="1" max="1" width="7.875" style="82" customWidth="1"/>
    <col min="2" max="2" width="8.5" style="82" customWidth="1"/>
    <col min="3" max="3" width="6.625" style="82" customWidth="1"/>
    <col min="4" max="4" width="15.75" style="82" customWidth="1"/>
    <col min="5" max="6" width="15.75" style="27" customWidth="1"/>
    <col min="7" max="7" width="18.25" style="27" customWidth="1"/>
    <col min="8" max="8" width="17.375" style="27" customWidth="1"/>
    <col min="9" max="9" width="14.625" style="27" customWidth="1"/>
    <col min="10" max="10" width="8.375" style="27" customWidth="1"/>
    <col min="11" max="11" width="7.5" style="27" customWidth="1"/>
    <col min="12" max="12" width="7.875" style="82" customWidth="1"/>
    <col min="13" max="13" width="9.25" style="82" customWidth="1"/>
    <col min="14" max="14" width="12.375" style="82" customWidth="1"/>
    <col min="15" max="16384" width="9" style="82"/>
  </cols>
  <sheetData>
    <row r="1" spans="1:18" ht="21">
      <c r="A1" s="10"/>
      <c r="B1" s="456"/>
      <c r="C1" s="457"/>
      <c r="D1" s="12" t="s">
        <v>40</v>
      </c>
      <c r="E1" s="11" t="s">
        <v>41</v>
      </c>
      <c r="F1" s="458"/>
      <c r="G1" s="459"/>
      <c r="H1" s="31" t="s">
        <v>55</v>
      </c>
    </row>
    <row r="2" spans="1:18" ht="24.75" customHeight="1">
      <c r="A2" s="12" t="s">
        <v>0</v>
      </c>
      <c r="B2" s="460" t="s">
        <v>283</v>
      </c>
      <c r="C2" s="460"/>
      <c r="D2" s="460"/>
      <c r="E2" s="460"/>
      <c r="F2" s="460"/>
      <c r="G2" s="460"/>
      <c r="H2" s="31" t="s">
        <v>56</v>
      </c>
    </row>
    <row r="3" spans="1:18" ht="19.5" customHeight="1">
      <c r="A3" s="30" t="s">
        <v>48</v>
      </c>
      <c r="B3" s="27"/>
      <c r="C3" s="27"/>
      <c r="D3" s="27"/>
      <c r="I3" s="31"/>
    </row>
    <row r="4" spans="1:18">
      <c r="A4" s="76" t="s">
        <v>46</v>
      </c>
      <c r="B4" s="439"/>
      <c r="C4" s="440"/>
      <c r="D4" s="440"/>
      <c r="E4" s="440"/>
      <c r="F4" s="440"/>
      <c r="G4" s="441"/>
      <c r="H4" s="381" t="s">
        <v>192</v>
      </c>
      <c r="I4" s="382"/>
      <c r="J4" s="382"/>
      <c r="K4" s="382"/>
      <c r="L4" s="383"/>
      <c r="N4" s="381" t="s">
        <v>192</v>
      </c>
      <c r="O4" s="382"/>
      <c r="P4" s="382"/>
      <c r="Q4" s="382"/>
      <c r="R4" s="383"/>
    </row>
    <row r="5" spans="1:18">
      <c r="A5" s="77" t="s">
        <v>39</v>
      </c>
      <c r="B5" s="439"/>
      <c r="C5" s="440"/>
      <c r="D5" s="440"/>
      <c r="E5" s="440"/>
      <c r="F5" s="440"/>
      <c r="G5" s="441"/>
      <c r="H5" s="84" t="s">
        <v>43</v>
      </c>
      <c r="I5" s="86" t="s">
        <v>69</v>
      </c>
      <c r="J5" s="86" t="s">
        <v>100</v>
      </c>
      <c r="N5" s="208" t="s">
        <v>43</v>
      </c>
      <c r="O5" s="210" t="s">
        <v>71</v>
      </c>
      <c r="P5" s="210" t="s">
        <v>100</v>
      </c>
      <c r="Q5" s="91"/>
      <c r="R5" s="173"/>
    </row>
    <row r="6" spans="1:18">
      <c r="A6" s="77" t="s">
        <v>7</v>
      </c>
      <c r="B6" s="439" t="s">
        <v>5</v>
      </c>
      <c r="C6" s="440"/>
      <c r="D6" s="441"/>
      <c r="E6" s="84" t="s">
        <v>43</v>
      </c>
      <c r="F6" s="213" t="s">
        <v>273</v>
      </c>
      <c r="G6" s="85" t="str">
        <f>IF($J$5 = 0,"", $J$5)</f>
        <v>武器</v>
      </c>
      <c r="H6" s="84" t="s">
        <v>66</v>
      </c>
      <c r="I6" s="86"/>
      <c r="J6" s="86"/>
      <c r="N6" s="208" t="s">
        <v>66</v>
      </c>
      <c r="O6" s="210"/>
      <c r="P6" s="210"/>
      <c r="Q6" s="91"/>
      <c r="R6" s="173"/>
    </row>
    <row r="7" spans="1:18">
      <c r="A7" s="78" t="s">
        <v>6</v>
      </c>
      <c r="B7" s="439" t="s">
        <v>91</v>
      </c>
      <c r="C7" s="440"/>
      <c r="D7" s="441"/>
      <c r="E7" s="84" t="s">
        <v>66</v>
      </c>
      <c r="F7" s="85" t="str">
        <f>IF($I$6 = 0,"", $I$6)</f>
        <v/>
      </c>
      <c r="G7" s="85" t="str">
        <f>IF($J$6 = 0,"", $J$6)</f>
        <v/>
      </c>
      <c r="H7" s="84" t="s">
        <v>85</v>
      </c>
      <c r="I7" s="86" t="s">
        <v>101</v>
      </c>
      <c r="J7" s="31" t="s">
        <v>62</v>
      </c>
      <c r="L7" s="191" t="s">
        <v>193</v>
      </c>
      <c r="N7" s="208" t="s">
        <v>85</v>
      </c>
      <c r="O7" s="210" t="s">
        <v>136</v>
      </c>
      <c r="P7" s="96" t="s">
        <v>62</v>
      </c>
      <c r="Q7" s="91"/>
      <c r="R7" s="191" t="s">
        <v>193</v>
      </c>
    </row>
    <row r="8" spans="1:18">
      <c r="A8" s="78" t="s">
        <v>8</v>
      </c>
      <c r="B8" s="439" t="s">
        <v>274</v>
      </c>
      <c r="C8" s="440"/>
      <c r="D8" s="440"/>
      <c r="E8" s="440"/>
      <c r="F8" s="440"/>
      <c r="G8" s="441"/>
      <c r="H8" s="84" t="s">
        <v>51</v>
      </c>
      <c r="I8" s="86" t="s">
        <v>12</v>
      </c>
      <c r="J8" s="85">
        <f>IF($I$8 = "筋力",基本!$C$5,IF($I$8 = "耐久力",基本!$C$6,IF($I$8 = "敏捷力",基本!$C$7,IF($I$8 = "知力",基本!$C$8,IF($I$8 = "判断力",基本!$C$9,IF($I$8 = "魅力",基本!$C$10,""))))))</f>
        <v>0</v>
      </c>
      <c r="K8" s="86" t="s">
        <v>90</v>
      </c>
      <c r="L8" s="192">
        <f>$J$8+$L$9+$I$9</f>
        <v>14</v>
      </c>
      <c r="N8" s="208" t="s">
        <v>51</v>
      </c>
      <c r="O8" s="210" t="s">
        <v>14</v>
      </c>
      <c r="P8" s="209">
        <f>IF(O8="",0,VLOOKUP(O8,基本!$A$5:'基本'!$C$10,3,FALSE))</f>
        <v>5</v>
      </c>
      <c r="Q8" s="210" t="s">
        <v>90</v>
      </c>
      <c r="R8" s="192">
        <f>$P$8+$O$9+$R$9</f>
        <v>20</v>
      </c>
    </row>
    <row r="9" spans="1:18" ht="14.25" customHeight="1">
      <c r="A9" s="79" t="s">
        <v>9</v>
      </c>
      <c r="B9" s="444" t="s">
        <v>275</v>
      </c>
      <c r="C9" s="445"/>
      <c r="D9" s="445"/>
      <c r="E9" s="445"/>
      <c r="F9" s="445"/>
      <c r="G9" s="446"/>
      <c r="H9" s="84" t="s">
        <v>58</v>
      </c>
      <c r="I9" s="86">
        <v>0</v>
      </c>
      <c r="J9" s="381" t="s">
        <v>53</v>
      </c>
      <c r="K9" s="383"/>
      <c r="L9" s="85">
        <f>IF($I$7=基本!$F$4,基本!$O$7,IF($I$7=基本!$F$13,基本!$O$16,IF($I$7=基本!$F$22,基本!$O$25,IF($I$7=基本!$F$31,基本!$O$34,IF($I$7=基本!$F$40,基本!$O$43,0)))))</f>
        <v>14</v>
      </c>
      <c r="N9" s="208" t="s">
        <v>58</v>
      </c>
      <c r="O9" s="210">
        <v>0</v>
      </c>
      <c r="P9" s="381" t="s">
        <v>53</v>
      </c>
      <c r="Q9" s="383"/>
      <c r="R9" s="209">
        <f>IF($O$7=基本!$F$4,基本!$O$7,IF($O$7=基本!$F$13,基本!$O$16,IF($O$7=基本!$F$22,基本!$O$25,IF($O$7=基本!$F$31,基本!$O$34,IF($O$7=基本!$F$40,基本!$O$43,0)))))</f>
        <v>15</v>
      </c>
    </row>
    <row r="10" spans="1:18" ht="3" customHeight="1">
      <c r="A10" s="80"/>
      <c r="B10" s="447"/>
      <c r="C10" s="448"/>
      <c r="D10" s="448"/>
      <c r="E10" s="448"/>
      <c r="F10" s="448"/>
      <c r="G10" s="449"/>
      <c r="H10" s="33" t="s">
        <v>52</v>
      </c>
      <c r="I10" s="86" t="s">
        <v>12</v>
      </c>
      <c r="J10" s="34">
        <f>IF($I$10 = "筋力",基本!$C$5,IF($I$10 = "耐久力",基本!$C$6,IF($I$10 = "敏捷力",基本!$C$7,IF($I$10 = "知力",基本!$C$8,IF($I$10 = "判断力",基本!$C$9,IF($I$10 = "魅力",基本!$C$10,""))))))</f>
        <v>0</v>
      </c>
      <c r="L10" s="27"/>
      <c r="N10" s="206" t="s">
        <v>52</v>
      </c>
      <c r="O10" s="210" t="s">
        <v>14</v>
      </c>
      <c r="P10" s="209">
        <f>IF(O10="",0,VLOOKUP(O10,基本!$A$5:'基本'!$C$10,3,FALSE))</f>
        <v>5</v>
      </c>
      <c r="Q10" s="91"/>
      <c r="R10" s="91"/>
    </row>
    <row r="11" spans="1:18" ht="3" customHeight="1">
      <c r="A11" s="80"/>
      <c r="B11" s="466"/>
      <c r="C11" s="359"/>
      <c r="D11" s="359"/>
      <c r="E11" s="359"/>
      <c r="F11" s="359"/>
      <c r="G11" s="467"/>
      <c r="H11" s="84" t="s">
        <v>59</v>
      </c>
      <c r="I11" s="86">
        <v>0</v>
      </c>
      <c r="J11" s="381" t="s">
        <v>54</v>
      </c>
      <c r="K11" s="383"/>
      <c r="L11" s="85">
        <f>IF($I$7=基本!$F$4,基本!$O$9,IF($I$7=基本!$F$13,基本!$O$18,IF($I$7=基本!$F$22,基本!$O$27,IF($I$7=基本!$F$31,基本!$O$36,IF($I$7=基本!$F$40,基本!$O$45,0)))))</f>
        <v>3</v>
      </c>
      <c r="N11" s="208" t="s">
        <v>59</v>
      </c>
      <c r="O11" s="210"/>
      <c r="P11" s="381" t="s">
        <v>267</v>
      </c>
      <c r="Q11" s="383"/>
      <c r="R11" s="209">
        <f>IF($O$7=基本!$F$4,基本!$O$9,IF($O$7=基本!$F$13,基本!$O$18,IF($O$7=基本!$F$22,基本!$O$27,IF($O$7=基本!$F$31,基本!$O$36,IF($O$7=基本!$F$40,基本!$O$45,0)))))</f>
        <v>5</v>
      </c>
    </row>
    <row r="12" spans="1:18" ht="3" customHeight="1">
      <c r="A12" s="80"/>
      <c r="B12" s="466"/>
      <c r="C12" s="359"/>
      <c r="D12" s="359"/>
      <c r="E12" s="359"/>
      <c r="F12" s="359"/>
      <c r="G12" s="467"/>
      <c r="H12" s="180" t="s">
        <v>202</v>
      </c>
      <c r="I12" s="179">
        <v>1</v>
      </c>
      <c r="J12" s="91"/>
      <c r="K12" s="91"/>
      <c r="L12" s="191" t="s">
        <v>193</v>
      </c>
      <c r="N12" s="207" t="s">
        <v>268</v>
      </c>
      <c r="O12" s="210">
        <v>1</v>
      </c>
      <c r="P12" s="173"/>
      <c r="Q12" s="173"/>
      <c r="R12" s="191" t="s">
        <v>193</v>
      </c>
    </row>
    <row r="13" spans="1:18" ht="0.75" customHeight="1">
      <c r="A13" s="80"/>
      <c r="B13" s="466"/>
      <c r="C13" s="359"/>
      <c r="D13" s="359"/>
      <c r="E13" s="359"/>
      <c r="F13" s="359"/>
      <c r="G13" s="467"/>
      <c r="H13" s="177" t="s">
        <v>86</v>
      </c>
      <c r="I13" s="32">
        <f>IF($I$7=基本!$F$4,基本!$F$9,IF($I$7=基本!$F$13,基本!$F$18,IF($I$7=基本!$F$22,基本!$F$27,IF($I$7=基本!$F$31,基本!$F$36,IF($I$7=基本!$F$40,基本!$F$45,0)))))*$I$12</f>
        <v>1</v>
      </c>
      <c r="J13" s="177" t="s">
        <v>194</v>
      </c>
      <c r="K13" s="32">
        <f>IF($I$7=基本!$F$4,基本!$H$9,IF($I$7=基本!$F$13,基本!$H$18,IF($I$7=基本!$F$22,基本!$H$27,IF($I$7=基本!$F$31,基本!$H$36,IF($I$7=基本!$F$40,基本!$H$45,0)))))</f>
        <v>4</v>
      </c>
      <c r="L13" s="192">
        <f>$J$10+$L$11+$I$11</f>
        <v>3</v>
      </c>
      <c r="M13" s="51"/>
      <c r="N13" s="207" t="s">
        <v>269</v>
      </c>
      <c r="O13" s="41">
        <f>IF($O$7=基本!$F$4,基本!$F$9,IF($O$7=基本!$F$13,基本!$F$18,IF($O$7=基本!$F$22,基本!$F$27,IF($O$7=基本!$F$31,基本!$F$36,IF($O$7=基本!$F$40,基本!$F$45,0)))))*$O$12</f>
        <v>1</v>
      </c>
      <c r="P13" s="208" t="s">
        <v>270</v>
      </c>
      <c r="Q13" s="41">
        <f>IF($O$7=基本!$F$4,基本!$H$9,IF($O$7=基本!$F$13,基本!$H$18,IF($O$7=基本!$F$22,基本!$H$27,IF($O$7=基本!$F$31,基本!$H$36,IF($O$7=基本!$F$40,基本!$H$45,0)))))</f>
        <v>4</v>
      </c>
      <c r="R13" s="192">
        <f>$P$10+$O$11+$R$11</f>
        <v>10</v>
      </c>
    </row>
    <row r="14" spans="1:18" ht="0.75" customHeight="1">
      <c r="A14" s="80"/>
      <c r="B14" s="447"/>
      <c r="C14" s="448"/>
      <c r="D14" s="448"/>
      <c r="E14" s="448"/>
      <c r="F14" s="448"/>
      <c r="G14" s="449"/>
      <c r="H14" s="84" t="s">
        <v>50</v>
      </c>
      <c r="I14" s="32">
        <f>IF($I$7=基本!$F$4,基本!$L$11,IF($I$7=基本!$F$13,基本!$L$20,IF($I$7=基本!$F$22,基本!$L$29,IF($I$7=基本!$F$31,基本!$L$38,IF($I$7=基本!$F$40,基本!$L$47,0)))))</f>
        <v>3</v>
      </c>
      <c r="J14" s="177" t="s">
        <v>194</v>
      </c>
      <c r="K14" s="32">
        <f>IF($I$7=基本!$F$4,基本!$N$11,IF($I$7=基本!$F$13,基本!$N$20,IF($I$7=基本!$F$22,基本!$N$29,IF($I$7=基本!$F$31,基本!$N$38,IF($I$7=基本!$F$40,基本!$N$47,0)))))</f>
        <v>6</v>
      </c>
      <c r="L14" s="192">
        <f>$J$10+$L$11+$I$11+($I$13*$K$13)</f>
        <v>7</v>
      </c>
      <c r="M14" s="51"/>
      <c r="N14" s="208" t="s">
        <v>50</v>
      </c>
      <c r="O14" s="41">
        <f>IF($O$7=基本!$F$4,基本!$L$11,IF($O$7=基本!$F$13,基本!$L$20,IF($O$7=基本!$F$22,基本!$L$29,IF($O$7=基本!$F$31,基本!$L$38,IF($O$7=基本!$F$40,基本!$L$47,0)))))</f>
        <v>3</v>
      </c>
      <c r="P14" s="208" t="s">
        <v>270</v>
      </c>
      <c r="Q14" s="41">
        <f>IF($O$7=基本!$F$4,基本!$N$11,IF($O$7=基本!$F$13,基本!$N$20,IF($O$7=基本!$F$22,基本!$N$29,IF($O$7=基本!$F$31,基本!$N$38,IF($O$7=基本!$F$40,基本!$N$47,0)))))</f>
        <v>6</v>
      </c>
      <c r="R14" s="192">
        <f>$P$10+$R$11+$O$11+($O$13*$Q$13)</f>
        <v>14</v>
      </c>
    </row>
    <row r="15" spans="1:18" ht="5.25" customHeight="1">
      <c r="A15" s="81"/>
      <c r="B15" s="469"/>
      <c r="C15" s="468"/>
      <c r="D15" s="468"/>
      <c r="E15" s="468"/>
      <c r="F15" s="468"/>
      <c r="G15" s="470"/>
      <c r="H15" s="84" t="s">
        <v>60</v>
      </c>
      <c r="I15" s="86"/>
      <c r="J15" s="177" t="s">
        <v>195</v>
      </c>
      <c r="K15" s="179" t="s">
        <v>12</v>
      </c>
      <c r="L15" s="176">
        <f>IF(K15="",0,VLOOKUP(K15,基本!$A$5:'基本'!$C$10,3,FALSE))</f>
        <v>0</v>
      </c>
    </row>
    <row r="16" spans="1:18" ht="14.25" thickBot="1">
      <c r="A16" s="83" t="s">
        <v>47</v>
      </c>
      <c r="E16" s="3"/>
      <c r="H16" s="82"/>
      <c r="I16" s="82"/>
      <c r="J16" s="82"/>
      <c r="K16" s="82"/>
    </row>
    <row r="17" spans="1:11" ht="18.75" customHeight="1" thickBot="1">
      <c r="A17" s="471" t="str">
        <f>$B$2</f>
        <v>武器による基礎攻撃</v>
      </c>
      <c r="B17" s="472"/>
      <c r="C17" s="472"/>
      <c r="D17" s="74" t="s">
        <v>2</v>
      </c>
      <c r="E17" s="54" t="s">
        <v>110</v>
      </c>
      <c r="F17" s="75" t="s">
        <v>103</v>
      </c>
      <c r="G17" s="60" t="s">
        <v>71</v>
      </c>
      <c r="J17" s="82"/>
      <c r="K17" s="82"/>
    </row>
    <row r="18" spans="1:11" s="173" customFormat="1" ht="23.25" customHeight="1">
      <c r="A18" s="450" t="s">
        <v>42</v>
      </c>
      <c r="B18" s="73" t="s">
        <v>113</v>
      </c>
      <c r="C18" s="453" t="str">
        <f>$K$8</f>
        <v>AC</v>
      </c>
      <c r="D18" s="71" t="str">
        <f>$L$8 &amp; "+1d20"</f>
        <v>14+1d20</v>
      </c>
      <c r="E18" s="71" t="str">
        <f>$L$8 &amp; "+1d20"</f>
        <v>14+1d20</v>
      </c>
      <c r="F18" s="71" t="str">
        <f>$L$8+1 &amp; "+1d20"</f>
        <v>15+1d20</v>
      </c>
      <c r="G18" s="72" t="str">
        <f>$R$8 &amp; "+1d20"</f>
        <v>20+1d20</v>
      </c>
    </row>
    <row r="19" spans="1:11" s="173" customFormat="1" ht="23.25" customHeight="1">
      <c r="A19" s="451"/>
      <c r="B19" s="232" t="s">
        <v>1</v>
      </c>
      <c r="C19" s="454"/>
      <c r="D19" s="233" t="str">
        <f>$L$8+2 &amp; "+1d20"</f>
        <v>16+1d20</v>
      </c>
      <c r="E19" s="233" t="str">
        <f>$L$8+1 &amp; "+1d20"</f>
        <v>15+1d20</v>
      </c>
      <c r="F19" s="233" t="str">
        <f>$L$8+2+1 &amp; "+1d20"</f>
        <v>17+1d20</v>
      </c>
      <c r="G19" s="234" t="str">
        <f>$R$8+2 &amp; "+1d20"</f>
        <v>22+1d20</v>
      </c>
    </row>
    <row r="20" spans="1:11" ht="23.25" customHeight="1">
      <c r="A20" s="451"/>
      <c r="B20" s="229" t="s">
        <v>365</v>
      </c>
      <c r="C20" s="454"/>
      <c r="D20" s="230" t="str">
        <f>3+$L$8 &amp; "+1d20"</f>
        <v>17+1d20</v>
      </c>
      <c r="E20" s="230" t="str">
        <f>3+$L$8 &amp; "+1d20"</f>
        <v>17+1d20</v>
      </c>
      <c r="F20" s="230" t="str">
        <f>3+$L$8+1 &amp; "+1d20"</f>
        <v>18+1d20</v>
      </c>
      <c r="G20" s="231" t="str">
        <f>3+$R$8 &amp; "+1d20"</f>
        <v>23+1d20</v>
      </c>
      <c r="H20" s="82"/>
      <c r="I20" s="82"/>
      <c r="J20" s="82"/>
      <c r="K20" s="82"/>
    </row>
    <row r="21" spans="1:11" ht="23.25" customHeight="1" thickBot="1">
      <c r="A21" s="452"/>
      <c r="B21" s="235" t="s">
        <v>1</v>
      </c>
      <c r="C21" s="455"/>
      <c r="D21" s="236" t="str">
        <f>3+$L$8+2 &amp; "+1d20"</f>
        <v>19+1d20</v>
      </c>
      <c r="E21" s="236" t="str">
        <f>3+$L$8+1 &amp; "+1d20"</f>
        <v>18+1d20</v>
      </c>
      <c r="F21" s="236" t="str">
        <f>3+$L$8+2+1 &amp; "+1d20"</f>
        <v>20+1d20</v>
      </c>
      <c r="G21" s="237" t="str">
        <f>3+$R$8+2 &amp; "+1d20"</f>
        <v>25+1d20</v>
      </c>
      <c r="H21" s="82"/>
      <c r="I21" s="82"/>
      <c r="J21" s="82"/>
      <c r="K21" s="82"/>
    </row>
    <row r="22" spans="1:11" s="173" customFormat="1" ht="21" customHeight="1">
      <c r="A22" s="442" t="s">
        <v>513</v>
      </c>
      <c r="B22" s="107" t="s">
        <v>4</v>
      </c>
      <c r="C22" s="62" t="str">
        <f t="shared" ref="C22:C29" si="0">IF($I$15 = 0,"", $I$15)</f>
        <v/>
      </c>
      <c r="D22" s="63" t="str">
        <f>基本!$K$2+$L$13 &amp; "+" &amp; $I$13 &amp; "d" &amp; $K$13</f>
        <v>5+1d4</v>
      </c>
      <c r="E22" s="63" t="str">
        <f>基本!$K$2+$L$13 &amp; "+" &amp; $I$13 &amp; "d" &amp; $K$13</f>
        <v>5+1d4</v>
      </c>
      <c r="F22" s="63" t="str">
        <f>基本!$K$2+$L$13 &amp; "+" &amp; $I$13 &amp; "d" &amp; $K$13</f>
        <v>5+1d4</v>
      </c>
      <c r="G22" s="64" t="str">
        <f>基本!$K$2+$R$13 &amp; "+" &amp; $O$13 &amp; "d" &amp; $Q$13</f>
        <v>12+1d4</v>
      </c>
    </row>
    <row r="23" spans="1:11" s="173" customFormat="1" ht="21" customHeight="1" thickBot="1">
      <c r="A23" s="443"/>
      <c r="B23" s="104" t="s">
        <v>3</v>
      </c>
      <c r="C23" s="108" t="str">
        <f t="shared" si="0"/>
        <v/>
      </c>
      <c r="D23" s="106" t="str">
        <f>基本!$K$2+$L$14 &amp; IF($I$14 =0,"","+" &amp; $I$14 &amp; "d" &amp; $K$14)</f>
        <v>9+3d6</v>
      </c>
      <c r="E23" s="106" t="str">
        <f>基本!$K$2+$L$14 &amp; IF($I$14 =0,"","+" &amp; $I$14 &amp; "d" &amp; $K$14)</f>
        <v>9+3d6</v>
      </c>
      <c r="F23" s="106" t="str">
        <f>基本!$K$2+$L$14 &amp; IF($I$14 =0,"","+" &amp; ($I$14 &amp; "d" &amp; $K$14))</f>
        <v>9+3d6</v>
      </c>
      <c r="G23" s="103" t="str">
        <f>基本!$K$2+$R$14 &amp; IF($O$14 = 0,"","+" &amp; $O$14 &amp; "d" &amp; $Q$14)</f>
        <v>16+3d6</v>
      </c>
    </row>
    <row r="24" spans="1:11" ht="21" customHeight="1">
      <c r="A24" s="442" t="s">
        <v>266</v>
      </c>
      <c r="B24" s="59" t="s">
        <v>4</v>
      </c>
      <c r="C24" s="62" t="str">
        <f t="shared" si="0"/>
        <v/>
      </c>
      <c r="D24" s="63" t="str">
        <f>基本!$K$2+$L$13 &amp; "+" &amp; $I$13 &amp; "d" &amp; $K$13</f>
        <v>5+1d4</v>
      </c>
      <c r="E24" s="63" t="str">
        <f>基本!$K$2+$L$13 &amp; "+" &amp; $I$13 &amp; "d" &amp; $K$13</f>
        <v>5+1d4</v>
      </c>
      <c r="F24" s="63" t="str">
        <f>基本!$K$2+$L$13 &amp; "+" &amp; $I$13 &amp; "d" &amp; $K$13</f>
        <v>5+1d4</v>
      </c>
      <c r="G24" s="64" t="str">
        <f>基本!$K$2+2+$R$13 &amp; "+" &amp; $O$13 &amp; "d" &amp; $Q$13</f>
        <v>14+1d4</v>
      </c>
      <c r="H24" s="82"/>
      <c r="I24" s="82"/>
      <c r="J24" s="82"/>
      <c r="K24" s="82"/>
    </row>
    <row r="25" spans="1:11" ht="21" customHeight="1" thickBot="1">
      <c r="A25" s="443"/>
      <c r="B25" s="26" t="s">
        <v>3</v>
      </c>
      <c r="C25" s="61" t="str">
        <f t="shared" si="0"/>
        <v/>
      </c>
      <c r="D25" s="106" t="str">
        <f>基本!$K$2+$L$14 &amp; IF($I$14 =0,"","+" &amp; $I$14 &amp; "d" &amp; $K$14)</f>
        <v>9+3d6</v>
      </c>
      <c r="E25" s="106" t="str">
        <f>基本!$K$2+$L$14 &amp; IF($I$14 =0,"","+" &amp; $I$14 &amp; "d" &amp; $K$14)</f>
        <v>9+3d6</v>
      </c>
      <c r="F25" s="106" t="str">
        <f>基本!$K$2+$L$14 &amp; IF($I$14 =0,"","+" &amp; ($I$14 &amp; "d" &amp; $K$14))</f>
        <v>9+3d6</v>
      </c>
      <c r="G25" s="103" t="str">
        <f>基本!$K$2+2+$R$14 &amp; IF($O$14 = 0,"","+" &amp; $O$14 &amp; "d" &amp; $Q$14)</f>
        <v>18+3d6</v>
      </c>
      <c r="H25" s="82"/>
      <c r="I25" s="82"/>
      <c r="J25" s="82"/>
      <c r="K25" s="82"/>
    </row>
    <row r="26" spans="1:11" s="173" customFormat="1" ht="21" customHeight="1">
      <c r="A26" s="478" t="s">
        <v>113</v>
      </c>
      <c r="B26" s="107" t="s">
        <v>4</v>
      </c>
      <c r="C26" s="62" t="str">
        <f t="shared" si="0"/>
        <v/>
      </c>
      <c r="D26" s="63" t="str">
        <f>$L$13 &amp; "+" &amp; $I$13 &amp; "d" &amp; $K$13</f>
        <v>3+1d4</v>
      </c>
      <c r="E26" s="63" t="str">
        <f>$L$13 &amp; "+" &amp; $I$13 &amp; "d" &amp; $K$13</f>
        <v>3+1d4</v>
      </c>
      <c r="F26" s="63" t="str">
        <f>$L$13 &amp; "+" &amp; $I$13 &amp; "d" &amp; $K$13</f>
        <v>3+1d4</v>
      </c>
      <c r="G26" s="64" t="str">
        <f>$R$13 &amp; "+" &amp; $O$13 &amp; "d" &amp; $Q$13</f>
        <v>10+1d4</v>
      </c>
    </row>
    <row r="27" spans="1:11" s="173" customFormat="1" ht="21" customHeight="1" thickBot="1">
      <c r="A27" s="479"/>
      <c r="B27" s="104" t="s">
        <v>3</v>
      </c>
      <c r="C27" s="108" t="str">
        <f t="shared" si="0"/>
        <v/>
      </c>
      <c r="D27" s="106" t="str">
        <f>$L$14 &amp; IF($I$14 = 0,"","+" &amp; $I$14 &amp; "d" &amp; $K$14)</f>
        <v>7+3d6</v>
      </c>
      <c r="E27" s="106" t="str">
        <f>$L$14 &amp; IF($I$14 = 0,"","+" &amp; $I$14 &amp; "d" &amp; $K$14)</f>
        <v>7+3d6</v>
      </c>
      <c r="F27" s="106" t="str">
        <f>$L$14 &amp; IF($I$14 = 0,"","+" &amp; ($I$14 &amp; "d" &amp; $K$14))</f>
        <v>7+3d6</v>
      </c>
      <c r="G27" s="103" t="str">
        <f>$R$14 &amp; IF($O$14 = 0,"","+" &amp; $O$14 &amp; "d" &amp; $Q$14)</f>
        <v>14+3d6</v>
      </c>
    </row>
    <row r="28" spans="1:11" s="173" customFormat="1" ht="21" customHeight="1">
      <c r="A28" s="478" t="s">
        <v>266</v>
      </c>
      <c r="B28" s="107" t="s">
        <v>4</v>
      </c>
      <c r="C28" s="62" t="str">
        <f t="shared" si="0"/>
        <v/>
      </c>
      <c r="D28" s="63" t="str">
        <f>$L$13 &amp; "+" &amp; $I$13 &amp; "d" &amp; $K$13</f>
        <v>3+1d4</v>
      </c>
      <c r="E28" s="63" t="str">
        <f>$L$13 &amp; "+" &amp; $I$13 &amp; "d" &amp; $K$13</f>
        <v>3+1d4</v>
      </c>
      <c r="F28" s="63" t="str">
        <f>$L$13 &amp; "+" &amp; $I$13 &amp; "d" &amp; $K$13</f>
        <v>3+1d4</v>
      </c>
      <c r="G28" s="64" t="str">
        <f>2+$R$13 &amp; "+" &amp; $O$13 &amp; "d" &amp; $Q$13</f>
        <v>12+1d4</v>
      </c>
    </row>
    <row r="29" spans="1:11" s="173" customFormat="1" ht="21" customHeight="1" thickBot="1">
      <c r="A29" s="479"/>
      <c r="B29" s="104" t="s">
        <v>3</v>
      </c>
      <c r="C29" s="108" t="str">
        <f t="shared" si="0"/>
        <v/>
      </c>
      <c r="D29" s="106" t="str">
        <f>$L$14 &amp; IF($I$14 = 0,"","+" &amp; $I$14 &amp; "d" &amp; $K$14)</f>
        <v>7+3d6</v>
      </c>
      <c r="E29" s="106" t="str">
        <f>$L$14 &amp; IF($I$14 = 0,"","+" &amp; $I$14 &amp; "d" &amp; $K$14)</f>
        <v>7+3d6</v>
      </c>
      <c r="F29" s="106" t="str">
        <f>$L$14 &amp; IF($I$14 = 0,"","+" &amp; ($I$14 &amp; "d" &amp; $K$14))</f>
        <v>7+3d6</v>
      </c>
      <c r="G29" s="103" t="str">
        <f>2+$R$14 &amp; IF($O$14 = 0,"","+" &amp; $O$14 &amp; "d" &amp; $Q$14)</f>
        <v>16+3d6</v>
      </c>
    </row>
    <row r="30" spans="1:11" s="143" customFormat="1" ht="8.25" customHeight="1">
      <c r="A30" s="359"/>
      <c r="B30" s="359"/>
      <c r="C30" s="359"/>
      <c r="D30" s="359"/>
      <c r="E30" s="359"/>
      <c r="F30" s="359"/>
      <c r="G30" s="359"/>
      <c r="H30" s="91"/>
      <c r="I30" s="91"/>
      <c r="J30" s="91"/>
      <c r="K30" s="91"/>
    </row>
    <row r="31" spans="1:11" s="143" customFormat="1" ht="14.25">
      <c r="A31" s="362" t="s">
        <v>299</v>
      </c>
      <c r="B31" s="362"/>
      <c r="C31" s="362"/>
      <c r="D31" s="362"/>
      <c r="E31" s="362"/>
      <c r="F31" s="362"/>
      <c r="G31" s="362"/>
      <c r="H31" s="91"/>
    </row>
    <row r="32" spans="1:11" s="173" customFormat="1" ht="14.25">
      <c r="A32" s="362" t="s">
        <v>535</v>
      </c>
      <c r="B32" s="362"/>
      <c r="C32" s="362"/>
      <c r="D32" s="362"/>
      <c r="E32" s="362"/>
      <c r="F32" s="362"/>
      <c r="G32" s="362"/>
    </row>
    <row r="33" spans="1:12" s="173" customFormat="1" ht="14.25">
      <c r="A33" s="362" t="s">
        <v>366</v>
      </c>
      <c r="B33" s="362"/>
      <c r="C33" s="362"/>
      <c r="D33" s="362"/>
      <c r="E33" s="362"/>
      <c r="F33" s="362"/>
      <c r="G33" s="362"/>
      <c r="H33" s="91"/>
      <c r="I33" s="91"/>
    </row>
    <row r="34" spans="1:12" s="173" customFormat="1" ht="14.25">
      <c r="A34" s="362" t="s">
        <v>215</v>
      </c>
      <c r="B34" s="362"/>
      <c r="C34" s="362"/>
      <c r="D34" s="362"/>
      <c r="E34" s="362"/>
      <c r="F34" s="362"/>
      <c r="G34" s="362"/>
      <c r="H34" s="91"/>
      <c r="I34" s="91"/>
    </row>
    <row r="35" spans="1:12" s="143" customFormat="1" ht="8.25" customHeight="1">
      <c r="A35" s="468"/>
      <c r="B35" s="468"/>
      <c r="C35" s="468"/>
      <c r="D35" s="468"/>
      <c r="E35" s="468"/>
      <c r="F35" s="468"/>
      <c r="G35" s="468"/>
      <c r="H35" s="91"/>
      <c r="I35" s="91"/>
      <c r="J35" s="91"/>
      <c r="K35" s="91"/>
    </row>
    <row r="36" spans="1:12">
      <c r="A36" s="473" t="s">
        <v>49</v>
      </c>
      <c r="B36" s="474"/>
      <c r="C36" s="474"/>
      <c r="D36" s="474"/>
      <c r="E36" s="474"/>
      <c r="F36" s="474"/>
      <c r="G36" s="475"/>
    </row>
    <row r="37" spans="1:12" s="27" customFormat="1" ht="9" customHeight="1">
      <c r="A37" s="476"/>
      <c r="B37" s="362"/>
      <c r="C37" s="362"/>
      <c r="D37" s="362"/>
      <c r="E37" s="362"/>
      <c r="F37" s="362"/>
      <c r="G37" s="477"/>
      <c r="L37" s="82"/>
    </row>
    <row r="38" spans="1:12" s="27" customFormat="1" ht="13.5" customHeight="1">
      <c r="A38" s="464" t="s">
        <v>278</v>
      </c>
      <c r="B38" s="368"/>
      <c r="C38" s="368"/>
      <c r="D38" s="368"/>
      <c r="E38" s="368"/>
      <c r="F38" s="368"/>
      <c r="G38" s="465"/>
      <c r="L38" s="82"/>
    </row>
    <row r="39" spans="1:12" s="27" customFormat="1" ht="13.5" customHeight="1">
      <c r="A39" s="464" t="s">
        <v>276</v>
      </c>
      <c r="B39" s="368"/>
      <c r="C39" s="368"/>
      <c r="D39" s="368"/>
      <c r="E39" s="368"/>
      <c r="F39" s="368"/>
      <c r="G39" s="465"/>
      <c r="L39" s="82"/>
    </row>
    <row r="40" spans="1:12" s="27" customFormat="1" ht="13.5" customHeight="1">
      <c r="A40" s="464" t="s">
        <v>296</v>
      </c>
      <c r="B40" s="368"/>
      <c r="C40" s="368"/>
      <c r="D40" s="368"/>
      <c r="E40" s="368"/>
      <c r="F40" s="368"/>
      <c r="G40" s="465"/>
      <c r="L40" s="82"/>
    </row>
    <row r="41" spans="1:12" s="27" customFormat="1" ht="13.5" customHeight="1">
      <c r="A41" s="464" t="s">
        <v>277</v>
      </c>
      <c r="B41" s="368"/>
      <c r="C41" s="368"/>
      <c r="D41" s="368"/>
      <c r="E41" s="368"/>
      <c r="F41" s="368"/>
      <c r="G41" s="465"/>
      <c r="L41" s="82"/>
    </row>
    <row r="42" spans="1:12" s="91" customFormat="1" ht="13.5" customHeight="1">
      <c r="A42" s="464" t="s">
        <v>279</v>
      </c>
      <c r="B42" s="368"/>
      <c r="C42" s="368"/>
      <c r="D42" s="368"/>
      <c r="E42" s="368"/>
      <c r="F42" s="368"/>
      <c r="G42" s="465"/>
      <c r="L42" s="173"/>
    </row>
    <row r="43" spans="1:12" s="91" customFormat="1" ht="13.5" customHeight="1">
      <c r="A43" s="464" t="s">
        <v>306</v>
      </c>
      <c r="B43" s="368"/>
      <c r="C43" s="368"/>
      <c r="D43" s="368"/>
      <c r="E43" s="368"/>
      <c r="F43" s="368"/>
      <c r="G43" s="465"/>
      <c r="L43" s="173"/>
    </row>
    <row r="44" spans="1:12" s="27" customFormat="1" ht="13.5" customHeight="1">
      <c r="A44" s="464" t="s">
        <v>307</v>
      </c>
      <c r="B44" s="368"/>
      <c r="C44" s="368"/>
      <c r="D44" s="368"/>
      <c r="E44" s="368"/>
      <c r="F44" s="368"/>
      <c r="G44" s="465"/>
      <c r="L44" s="82"/>
    </row>
    <row r="45" spans="1:12" s="91" customFormat="1" ht="13.5" customHeight="1">
      <c r="A45" s="464" t="s">
        <v>367</v>
      </c>
      <c r="B45" s="368"/>
      <c r="C45" s="368"/>
      <c r="D45" s="368"/>
      <c r="E45" s="368"/>
      <c r="F45" s="368"/>
      <c r="G45" s="465"/>
      <c r="L45" s="173"/>
    </row>
    <row r="46" spans="1:12" s="27" customFormat="1" ht="7.5" customHeight="1">
      <c r="A46" s="464"/>
      <c r="B46" s="368"/>
      <c r="C46" s="368"/>
      <c r="D46" s="368"/>
      <c r="E46" s="368"/>
      <c r="F46" s="368"/>
      <c r="G46" s="465"/>
      <c r="L46" s="82"/>
    </row>
    <row r="47" spans="1:12" s="27" customFormat="1" ht="13.5" customHeight="1">
      <c r="A47" s="464" t="s">
        <v>280</v>
      </c>
      <c r="B47" s="368"/>
      <c r="C47" s="368"/>
      <c r="D47" s="368"/>
      <c r="E47" s="368"/>
      <c r="F47" s="368"/>
      <c r="G47" s="465"/>
      <c r="L47" s="82"/>
    </row>
    <row r="48" spans="1:12" s="91" customFormat="1" ht="13.5" customHeight="1">
      <c r="A48" s="464" t="s">
        <v>281</v>
      </c>
      <c r="B48" s="368"/>
      <c r="C48" s="368"/>
      <c r="D48" s="368"/>
      <c r="E48" s="368"/>
      <c r="F48" s="368"/>
      <c r="G48" s="465"/>
      <c r="L48" s="143"/>
    </row>
    <row r="49" spans="1:12" s="91" customFormat="1" ht="13.5" customHeight="1">
      <c r="A49" s="464" t="s">
        <v>308</v>
      </c>
      <c r="B49" s="368"/>
      <c r="C49" s="368"/>
      <c r="D49" s="368"/>
      <c r="E49" s="368"/>
      <c r="F49" s="368"/>
      <c r="G49" s="465"/>
      <c r="L49" s="173"/>
    </row>
    <row r="50" spans="1:12" s="91" customFormat="1" ht="13.5" customHeight="1">
      <c r="A50" s="464" t="s">
        <v>282</v>
      </c>
      <c r="B50" s="368"/>
      <c r="C50" s="368"/>
      <c r="D50" s="368"/>
      <c r="E50" s="368"/>
      <c r="F50" s="368"/>
      <c r="G50" s="465"/>
      <c r="L50" s="173"/>
    </row>
    <row r="51" spans="1:12" s="91" customFormat="1" ht="13.5" customHeight="1">
      <c r="A51" s="464" t="s">
        <v>295</v>
      </c>
      <c r="B51" s="368"/>
      <c r="C51" s="368"/>
      <c r="D51" s="368"/>
      <c r="E51" s="368"/>
      <c r="F51" s="368"/>
      <c r="G51" s="465"/>
      <c r="L51" s="173"/>
    </row>
    <row r="52" spans="1:12" s="91" customFormat="1" ht="8.25" customHeight="1">
      <c r="A52" s="464"/>
      <c r="B52" s="368"/>
      <c r="C52" s="368"/>
      <c r="D52" s="368"/>
      <c r="E52" s="368"/>
      <c r="F52" s="368"/>
      <c r="G52" s="465"/>
      <c r="L52" s="173"/>
    </row>
    <row r="53" spans="1:12" s="27" customFormat="1" ht="21">
      <c r="A53" s="23"/>
      <c r="B53" s="87"/>
      <c r="C53" s="24"/>
      <c r="D53" s="25"/>
      <c r="E53" s="461" t="str">
        <f>$B$2</f>
        <v>武器による基礎攻撃</v>
      </c>
      <c r="F53" s="462"/>
      <c r="G53" s="463"/>
      <c r="L53" s="82"/>
    </row>
  </sheetData>
  <mergeCells count="52">
    <mergeCell ref="A36:G36"/>
    <mergeCell ref="A37:G37"/>
    <mergeCell ref="B8:G8"/>
    <mergeCell ref="A45:G45"/>
    <mergeCell ref="A39:G39"/>
    <mergeCell ref="A42:G42"/>
    <mergeCell ref="A43:G43"/>
    <mergeCell ref="A41:G41"/>
    <mergeCell ref="A24:A25"/>
    <mergeCell ref="A30:G30"/>
    <mergeCell ref="A31:G31"/>
    <mergeCell ref="A26:A27"/>
    <mergeCell ref="A28:A29"/>
    <mergeCell ref="N4:R4"/>
    <mergeCell ref="P9:Q9"/>
    <mergeCell ref="P11:Q11"/>
    <mergeCell ref="A40:G40"/>
    <mergeCell ref="B13:G13"/>
    <mergeCell ref="B14:G14"/>
    <mergeCell ref="A33:G33"/>
    <mergeCell ref="A34:G34"/>
    <mergeCell ref="J9:K9"/>
    <mergeCell ref="B12:G12"/>
    <mergeCell ref="J11:K11"/>
    <mergeCell ref="H4:L4"/>
    <mergeCell ref="A35:G35"/>
    <mergeCell ref="B11:G11"/>
    <mergeCell ref="B15:G15"/>
    <mergeCell ref="A17:C17"/>
    <mergeCell ref="E53:G53"/>
    <mergeCell ref="A38:G38"/>
    <mergeCell ref="A48:G48"/>
    <mergeCell ref="A46:G46"/>
    <mergeCell ref="A44:G44"/>
    <mergeCell ref="A47:G47"/>
    <mergeCell ref="A49:G49"/>
    <mergeCell ref="A50:G50"/>
    <mergeCell ref="A51:G51"/>
    <mergeCell ref="A52:G52"/>
    <mergeCell ref="B1:C1"/>
    <mergeCell ref="F1:G1"/>
    <mergeCell ref="B2:G2"/>
    <mergeCell ref="B4:G4"/>
    <mergeCell ref="B5:G5"/>
    <mergeCell ref="B6:D6"/>
    <mergeCell ref="B7:D7"/>
    <mergeCell ref="A32:G32"/>
    <mergeCell ref="A22:A23"/>
    <mergeCell ref="B9:G9"/>
    <mergeCell ref="B10:G10"/>
    <mergeCell ref="A18:A21"/>
    <mergeCell ref="C18:C21"/>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50"/>
  <sheetViews>
    <sheetView zoomScaleNormal="100" workbookViewId="0">
      <selection activeCell="B2" sqref="B2:G2"/>
    </sheetView>
  </sheetViews>
  <sheetFormatPr defaultColWidth="9" defaultRowHeight="13.5"/>
  <cols>
    <col min="1" max="1" width="7.875" style="46" customWidth="1"/>
    <col min="2" max="2" width="8.5" style="46" customWidth="1"/>
    <col min="3" max="3" width="6.625" style="46" customWidth="1"/>
    <col min="4" max="4" width="15.75" style="46" customWidth="1"/>
    <col min="5" max="6" width="15.75" style="27" customWidth="1"/>
    <col min="7" max="7" width="18.25" style="27" customWidth="1"/>
    <col min="8" max="8" width="17.375" style="27" customWidth="1"/>
    <col min="9" max="9" width="14.625" style="27" customWidth="1"/>
    <col min="10" max="10" width="8.375" style="27" customWidth="1"/>
    <col min="11" max="11" width="7.5" style="27" customWidth="1"/>
    <col min="12" max="12" width="7.875" style="46" customWidth="1"/>
    <col min="13" max="13" width="7.875" style="173" customWidth="1"/>
    <col min="14" max="14" width="17.875" style="46" bestFit="1" customWidth="1"/>
    <col min="15" max="15" width="12.375" style="46" customWidth="1"/>
    <col min="16" max="16384" width="9" style="46"/>
  </cols>
  <sheetData>
    <row r="1" spans="1:18" ht="21">
      <c r="A1" s="88" t="s">
        <v>114</v>
      </c>
      <c r="B1" s="456">
        <v>1</v>
      </c>
      <c r="C1" s="457"/>
      <c r="D1" s="12" t="s">
        <v>40</v>
      </c>
      <c r="E1" s="11" t="s">
        <v>41</v>
      </c>
      <c r="F1" s="458"/>
      <c r="G1" s="459"/>
      <c r="H1" s="31" t="s">
        <v>55</v>
      </c>
    </row>
    <row r="2" spans="1:18" ht="24.75" customHeight="1">
      <c r="A2" s="12" t="s">
        <v>0</v>
      </c>
      <c r="B2" s="460" t="s">
        <v>131</v>
      </c>
      <c r="C2" s="460"/>
      <c r="D2" s="460"/>
      <c r="E2" s="460"/>
      <c r="F2" s="460"/>
      <c r="G2" s="460"/>
      <c r="H2" s="31" t="s">
        <v>56</v>
      </c>
    </row>
    <row r="3" spans="1:18" ht="19.5" customHeight="1">
      <c r="A3" s="30" t="s">
        <v>48</v>
      </c>
      <c r="B3" s="27"/>
      <c r="C3" s="27"/>
      <c r="D3" s="27"/>
      <c r="I3" s="31"/>
    </row>
    <row r="4" spans="1:18">
      <c r="A4" s="76" t="s">
        <v>46</v>
      </c>
      <c r="B4" s="439" t="s">
        <v>132</v>
      </c>
      <c r="C4" s="440"/>
      <c r="D4" s="440"/>
      <c r="E4" s="440"/>
      <c r="F4" s="440"/>
      <c r="G4" s="441"/>
      <c r="H4" s="381" t="s">
        <v>201</v>
      </c>
      <c r="I4" s="382"/>
      <c r="J4" s="382"/>
      <c r="K4" s="382"/>
      <c r="L4" s="383"/>
      <c r="N4"/>
      <c r="O4"/>
      <c r="P4"/>
      <c r="Q4"/>
      <c r="R4"/>
    </row>
    <row r="5" spans="1:18">
      <c r="A5" s="77" t="s">
        <v>39</v>
      </c>
      <c r="B5" s="439" t="s">
        <v>592</v>
      </c>
      <c r="C5" s="440"/>
      <c r="D5" s="440"/>
      <c r="E5" s="440"/>
      <c r="F5" s="440"/>
      <c r="G5" s="441"/>
      <c r="H5" s="47" t="s">
        <v>43</v>
      </c>
      <c r="I5" s="49" t="s">
        <v>71</v>
      </c>
      <c r="J5" s="49">
        <v>20</v>
      </c>
      <c r="N5"/>
      <c r="O5"/>
      <c r="P5"/>
      <c r="Q5"/>
      <c r="R5"/>
    </row>
    <row r="6" spans="1:18">
      <c r="A6" s="77" t="s">
        <v>7</v>
      </c>
      <c r="B6" s="439" t="s">
        <v>5</v>
      </c>
      <c r="C6" s="440"/>
      <c r="D6" s="441"/>
      <c r="E6" s="69" t="s">
        <v>43</v>
      </c>
      <c r="F6" s="159" t="str">
        <f>$I$5</f>
        <v>遠隔</v>
      </c>
      <c r="G6" s="159">
        <f>IF($J$5 = 0,"", $J$5)</f>
        <v>20</v>
      </c>
      <c r="H6" s="47" t="s">
        <v>66</v>
      </c>
      <c r="I6" s="49"/>
      <c r="J6" s="49"/>
      <c r="N6"/>
      <c r="O6"/>
      <c r="P6"/>
      <c r="Q6"/>
      <c r="R6"/>
    </row>
    <row r="7" spans="1:18">
      <c r="A7" s="78" t="s">
        <v>6</v>
      </c>
      <c r="B7" s="439" t="s">
        <v>91</v>
      </c>
      <c r="C7" s="440"/>
      <c r="D7" s="441"/>
      <c r="E7" s="69" t="s">
        <v>66</v>
      </c>
      <c r="F7" s="68" t="str">
        <f>IF($I$6 = 0,"", $I$6)</f>
        <v/>
      </c>
      <c r="G7" s="68" t="str">
        <f>IF($J$6 = 0,"", $J$6)</f>
        <v/>
      </c>
      <c r="H7" s="47" t="s">
        <v>85</v>
      </c>
      <c r="I7" s="166" t="s">
        <v>182</v>
      </c>
      <c r="J7" s="31" t="s">
        <v>62</v>
      </c>
      <c r="L7" s="191" t="s">
        <v>193</v>
      </c>
      <c r="N7"/>
      <c r="O7"/>
      <c r="P7"/>
      <c r="Q7"/>
      <c r="R7"/>
    </row>
    <row r="8" spans="1:18">
      <c r="A8" s="78" t="s">
        <v>8</v>
      </c>
      <c r="B8" s="505" t="s">
        <v>174</v>
      </c>
      <c r="C8" s="506"/>
      <c r="D8" s="506"/>
      <c r="E8" s="506"/>
      <c r="F8" s="506"/>
      <c r="G8" s="507"/>
      <c r="H8" s="47" t="s">
        <v>51</v>
      </c>
      <c r="I8" s="49" t="s">
        <v>17</v>
      </c>
      <c r="J8" s="48">
        <f>IF($I$8 = "筋力",基本!$C$5,IF($I$8 = "耐久力",基本!$C$6,IF($I$8 = "敏捷力",基本!$C$7,IF($I$8 = "知力",基本!$C$8,IF($I$8 = "判断力",基本!$C$9,IF($I$8 = "魅力",基本!$C$10,""))))))</f>
        <v>6</v>
      </c>
      <c r="K8" s="49" t="s">
        <v>20</v>
      </c>
      <c r="L8" s="192">
        <f>$J$8+$L$9+$I$9</f>
        <v>21</v>
      </c>
      <c r="N8"/>
      <c r="O8"/>
      <c r="P8"/>
      <c r="Q8"/>
      <c r="R8"/>
    </row>
    <row r="9" spans="1:18" ht="14.25" customHeight="1">
      <c r="A9" s="80" t="s">
        <v>124</v>
      </c>
      <c r="B9" s="444" t="s">
        <v>175</v>
      </c>
      <c r="C9" s="445"/>
      <c r="D9" s="445"/>
      <c r="E9" s="445"/>
      <c r="F9" s="445"/>
      <c r="G9" s="446"/>
      <c r="H9" s="47" t="s">
        <v>58</v>
      </c>
      <c r="I9" s="49">
        <v>0</v>
      </c>
      <c r="J9" s="381" t="s">
        <v>53</v>
      </c>
      <c r="K9" s="383"/>
      <c r="L9" s="48">
        <f>IF($I$7=基本!$F$4,基本!$O$7,IF($I$7=基本!$F$13,基本!$O$16,IF($I$7=基本!$F$22,基本!$O$25,IF($I$7=基本!$F$31,基本!$O$34,IF($I$7=基本!$F$40,基本!$O$43,0)))))</f>
        <v>15</v>
      </c>
      <c r="N9"/>
      <c r="O9"/>
      <c r="P9"/>
      <c r="Q9"/>
      <c r="R9"/>
    </row>
    <row r="10" spans="1:18" ht="14.25" customHeight="1">
      <c r="A10" s="80"/>
      <c r="B10" s="481" t="s">
        <v>176</v>
      </c>
      <c r="C10" s="482"/>
      <c r="D10" s="482"/>
      <c r="E10" s="482"/>
      <c r="F10" s="482"/>
      <c r="G10" s="483"/>
      <c r="H10" s="33" t="s">
        <v>52</v>
      </c>
      <c r="I10" s="49" t="s">
        <v>17</v>
      </c>
      <c r="J10" s="34">
        <f>IF($I$10 = "筋力",基本!$C$5,IF($I$10 = "耐久力",基本!$C$6,IF($I$10 = "敏捷力",基本!$C$7,IF($I$10 = "知力",基本!$C$8,IF($I$10 = "判断力",基本!$C$9,IF($I$10 = "魅力",基本!$C$10,""))))))</f>
        <v>6</v>
      </c>
      <c r="L10" s="27"/>
      <c r="N10"/>
      <c r="O10"/>
      <c r="P10"/>
      <c r="Q10"/>
      <c r="R10"/>
    </row>
    <row r="11" spans="1:18" ht="14.25" customHeight="1">
      <c r="A11" s="80"/>
      <c r="B11" s="481" t="s">
        <v>162</v>
      </c>
      <c r="C11" s="482"/>
      <c r="D11" s="482"/>
      <c r="E11" s="482"/>
      <c r="F11" s="482"/>
      <c r="G11" s="483"/>
      <c r="H11" s="47" t="s">
        <v>59</v>
      </c>
      <c r="I11" s="49">
        <v>5</v>
      </c>
      <c r="J11" s="381" t="s">
        <v>54</v>
      </c>
      <c r="K11" s="383"/>
      <c r="L11" s="48">
        <f>IF($I$7=基本!$F$4,基本!$O$9,IF($I$7=基本!$F$13,基本!$O$18,IF($I$7=基本!$F$22,基本!$O$27,IF($I$7=基本!$F$31,基本!$O$36,IF($I$7=基本!$F$40,基本!$O$45,0)))))</f>
        <v>19</v>
      </c>
      <c r="N11"/>
      <c r="O11"/>
      <c r="P11"/>
      <c r="Q11"/>
      <c r="R11"/>
    </row>
    <row r="12" spans="1:18" ht="6.75" customHeight="1">
      <c r="A12" s="80"/>
      <c r="B12" s="481"/>
      <c r="C12" s="482"/>
      <c r="D12" s="482"/>
      <c r="E12" s="482"/>
      <c r="F12" s="482"/>
      <c r="G12" s="483"/>
      <c r="H12" s="173"/>
      <c r="I12" s="173"/>
      <c r="J12" s="173"/>
      <c r="K12" s="173"/>
      <c r="L12" s="191" t="s">
        <v>193</v>
      </c>
      <c r="N12"/>
      <c r="O12"/>
      <c r="P12"/>
      <c r="Q12"/>
      <c r="R12"/>
    </row>
    <row r="13" spans="1:18" ht="6.75" customHeight="1">
      <c r="A13" s="80"/>
      <c r="B13" s="466"/>
      <c r="C13" s="359"/>
      <c r="D13" s="359"/>
      <c r="E13" s="359"/>
      <c r="F13" s="359"/>
      <c r="G13" s="467"/>
      <c r="H13" s="177" t="s">
        <v>86</v>
      </c>
      <c r="I13" s="49">
        <v>1</v>
      </c>
      <c r="J13" s="47" t="s">
        <v>44</v>
      </c>
      <c r="K13" s="49">
        <v>10</v>
      </c>
      <c r="L13" s="192">
        <f>$J$10+$L$11+$I$11</f>
        <v>30</v>
      </c>
      <c r="N13"/>
      <c r="O13"/>
      <c r="P13"/>
      <c r="Q13"/>
      <c r="R13"/>
    </row>
    <row r="14" spans="1:18" ht="22.5" customHeight="1">
      <c r="A14" s="109"/>
      <c r="B14" s="499" t="s">
        <v>517</v>
      </c>
      <c r="C14" s="500"/>
      <c r="D14" s="500"/>
      <c r="E14" s="500"/>
      <c r="F14" s="500"/>
      <c r="G14" s="501"/>
      <c r="H14" s="47" t="s">
        <v>50</v>
      </c>
      <c r="I14" s="32">
        <f>IF($I$7=基本!$F$4,基本!$L$11,IF($I$7=基本!$F$13,基本!$L$20,IF($I$7=基本!$F$22,基本!$L$29,IF($I$7=基本!$F$31,基本!$L$38,IF($I$7=基本!$F$40,基本!$L$47,0)))))</f>
        <v>4</v>
      </c>
      <c r="J14" s="177" t="s">
        <v>200</v>
      </c>
      <c r="K14" s="32">
        <f>IF($I$7=基本!$F$4,基本!$N$11,IF($I$7=基本!$F$13,基本!$N$20,IF($I$7=基本!$F$22,基本!$N$29,IF($I$7=基本!$F$31,基本!$N$38,IF($I$7=基本!$F$40,基本!$N$47,0)))))</f>
        <v>6</v>
      </c>
      <c r="L14" s="192">
        <f>$J$10+$L$11+$I$11+($I$13*$K$13)</f>
        <v>40</v>
      </c>
      <c r="N14"/>
      <c r="O14"/>
      <c r="P14"/>
      <c r="Q14"/>
      <c r="R14"/>
    </row>
    <row r="15" spans="1:18" ht="14.25" customHeight="1">
      <c r="A15" s="81"/>
      <c r="B15" s="502"/>
      <c r="C15" s="503"/>
      <c r="D15" s="503"/>
      <c r="E15" s="503"/>
      <c r="F15" s="503"/>
      <c r="G15" s="504"/>
      <c r="H15" s="47" t="s">
        <v>60</v>
      </c>
      <c r="I15" s="49" t="s">
        <v>75</v>
      </c>
      <c r="J15" s="177" t="s">
        <v>195</v>
      </c>
      <c r="K15" s="179" t="s">
        <v>17</v>
      </c>
      <c r="L15" s="176">
        <f>IF(K15="",0,VLOOKUP(K15,基本!$A$5:'基本'!$C$10,3,FALSE))</f>
        <v>6</v>
      </c>
      <c r="N15"/>
      <c r="O15"/>
      <c r="P15"/>
      <c r="Q15"/>
      <c r="R15"/>
    </row>
    <row r="16" spans="1:18" s="137" customFormat="1" ht="14.25" thickBot="1">
      <c r="A16" s="136" t="s">
        <v>47</v>
      </c>
      <c r="E16" s="92"/>
      <c r="F16" s="91"/>
      <c r="G16" s="91"/>
      <c r="M16" s="173"/>
    </row>
    <row r="17" spans="1:13" s="143" customFormat="1" ht="13.5" customHeight="1">
      <c r="A17" s="491" t="str">
        <f>$B$2</f>
        <v>アシッド・オーブ</v>
      </c>
      <c r="B17" s="492"/>
      <c r="C17" s="493"/>
      <c r="D17" s="497" t="s">
        <v>2</v>
      </c>
      <c r="E17" s="498"/>
      <c r="F17" s="484" t="s">
        <v>284</v>
      </c>
      <c r="G17" s="485"/>
      <c r="K17" s="173"/>
    </row>
    <row r="18" spans="1:13" s="137" customFormat="1" ht="17.25" customHeight="1" thickBot="1">
      <c r="A18" s="494"/>
      <c r="B18" s="495"/>
      <c r="C18" s="496"/>
      <c r="D18" s="160" t="s">
        <v>2</v>
      </c>
      <c r="E18" s="215" t="s">
        <v>1</v>
      </c>
      <c r="F18" s="160" t="s">
        <v>2</v>
      </c>
      <c r="G18" s="214" t="s">
        <v>1</v>
      </c>
      <c r="K18" s="173"/>
      <c r="M18" s="173"/>
    </row>
    <row r="19" spans="1:13" s="173" customFormat="1" ht="24" customHeight="1">
      <c r="A19" s="450" t="s">
        <v>42</v>
      </c>
      <c r="B19" s="225" t="s">
        <v>113</v>
      </c>
      <c r="C19" s="488" t="str">
        <f>$K$8</f>
        <v>反応</v>
      </c>
      <c r="D19" s="222" t="str">
        <f>$L$8 &amp; "+1d20"</f>
        <v>21+1d20</v>
      </c>
      <c r="E19" s="223" t="str">
        <f>$L$8+2 &amp; "+1d20"</f>
        <v>23+1d20</v>
      </c>
      <c r="F19" s="222" t="str">
        <f>$L$8 &amp; "+1d20"</f>
        <v>21+1d20</v>
      </c>
      <c r="G19" s="224" t="str">
        <f>$L$8+2 &amp; "+1d20"</f>
        <v>23+1d20</v>
      </c>
    </row>
    <row r="20" spans="1:13" s="173" customFormat="1" ht="24" customHeight="1">
      <c r="A20" s="451"/>
      <c r="B20" s="319" t="s">
        <v>427</v>
      </c>
      <c r="C20" s="489"/>
      <c r="D20" s="313" t="str">
        <f>$L$8 -5&amp; "+1d20"</f>
        <v>16+1d20</v>
      </c>
      <c r="E20" s="314" t="str">
        <f>$L$8+2 -5&amp; "+1d20"</f>
        <v>18+1d20</v>
      </c>
      <c r="F20" s="313" t="str">
        <f>$L$8 -5&amp; "+1d20"</f>
        <v>16+1d20</v>
      </c>
      <c r="G20" s="315" t="str">
        <f>$L$8+2 -5&amp; "+1d20"</f>
        <v>18+1d20</v>
      </c>
    </row>
    <row r="21" spans="1:13" s="173" customFormat="1" ht="24" customHeight="1">
      <c r="A21" s="451"/>
      <c r="B21" s="321" t="s">
        <v>429</v>
      </c>
      <c r="C21" s="489"/>
      <c r="D21" s="316" t="str">
        <f>3+$L$8 &amp; "+1d20"</f>
        <v>24+1d20</v>
      </c>
      <c r="E21" s="317" t="str">
        <f>3+$L$8+2 &amp; "+1d20"</f>
        <v>26+1d20</v>
      </c>
      <c r="F21" s="316" t="str">
        <f>3+$L$8 &amp; "+1d20"</f>
        <v>24+1d20</v>
      </c>
      <c r="G21" s="318" t="str">
        <f>3+$L$8+2 &amp; "+1d20"</f>
        <v>26+1d20</v>
      </c>
    </row>
    <row r="22" spans="1:13" s="173" customFormat="1" ht="24" customHeight="1" thickBot="1">
      <c r="A22" s="452"/>
      <c r="B22" s="320" t="s">
        <v>428</v>
      </c>
      <c r="C22" s="490"/>
      <c r="D22" s="226" t="str">
        <f>3+$L$8 -5&amp; "+1d20"</f>
        <v>19+1d20</v>
      </c>
      <c r="E22" s="227" t="str">
        <f>3+$L$8+2 -5&amp; "+1d20"</f>
        <v>21+1d20</v>
      </c>
      <c r="F22" s="226" t="str">
        <f>3+$L$8 -5&amp; "+1d20"</f>
        <v>19+1d20</v>
      </c>
      <c r="G22" s="228" t="str">
        <f>3+$L$8+2 -5&amp; "+1d20"</f>
        <v>21+1d20</v>
      </c>
    </row>
    <row r="23" spans="1:13" s="173" customFormat="1" ht="21" customHeight="1">
      <c r="A23" s="442" t="s">
        <v>513</v>
      </c>
      <c r="B23" s="348" t="s">
        <v>2</v>
      </c>
      <c r="C23" s="486" t="s">
        <v>601</v>
      </c>
      <c r="D23" s="63" t="str">
        <f>基本!$K$2+$L$13 &amp; "+" &amp; $I$13 &amp; "d" &amp; $K$13</f>
        <v>32+1d10</v>
      </c>
      <c r="E23" s="349" t="str">
        <f>基本!$K$2+$L$13 &amp; "+" &amp; $I$13 &amp; "d" &amp; $K$13</f>
        <v>32+1d10</v>
      </c>
      <c r="F23" s="63" t="str">
        <f>基本!$K$2+$L$13 &amp; "+" &amp; $I$13 &amp; "d" &amp; $K$13&amp;"+1d6"</f>
        <v>32+1d10+1d6</v>
      </c>
      <c r="G23" s="64" t="str">
        <f>基本!$K$2+$L$13 &amp; "+" &amp; $I$13 &amp; "d" &amp; $K$13&amp;"+1d6"</f>
        <v>32+1d10+1d6</v>
      </c>
    </row>
    <row r="24" spans="1:13" s="173" customFormat="1" ht="21" customHeight="1" thickBot="1">
      <c r="A24" s="443"/>
      <c r="B24" s="350" t="s">
        <v>266</v>
      </c>
      <c r="C24" s="487"/>
      <c r="D24" s="351" t="str">
        <f>基本!$K$2+2+$L$13 &amp; "+" &amp; $I$13 &amp; "d" &amp; $K$13</f>
        <v>34+1d10</v>
      </c>
      <c r="E24" s="352" t="str">
        <f>基本!$K$2+2+$L$13 &amp; "+" &amp; $I$13 &amp; "d" &amp; $K$13</f>
        <v>34+1d10</v>
      </c>
      <c r="F24" s="351" t="str">
        <f>基本!$K$2+2+$L$13 &amp; "+" &amp; $I$13 &amp; "d" &amp; $K$13&amp;"+1d6"</f>
        <v>34+1d10+1d6</v>
      </c>
      <c r="G24" s="353" t="str">
        <f>基本!$K$2+2+$L$13 &amp; "+" &amp; $I$13 &amp; "d" &amp; $K$13&amp;"+1d6"</f>
        <v>34+1d10+1d6</v>
      </c>
    </row>
    <row r="25" spans="1:13" s="173" customFormat="1" ht="21" customHeight="1">
      <c r="A25" s="442" t="s">
        <v>600</v>
      </c>
      <c r="B25" s="344" t="s">
        <v>2</v>
      </c>
      <c r="C25" s="486" t="s">
        <v>602</v>
      </c>
      <c r="D25" s="345" t="str">
        <f>基本!$K$2+$L$14 &amp; IF($I$14 =0,"","+" &amp; $I$14 &amp; "d" &amp; $K$14)</f>
        <v>42+4d6</v>
      </c>
      <c r="E25" s="346" t="str">
        <f>基本!$K$2+$L$14 &amp; IF($I$14 =0,"","+" &amp; $I$14 &amp; "d" &amp; $K$14)</f>
        <v>42+4d6</v>
      </c>
      <c r="F25" s="345" t="str">
        <f>基本!$K$2+6+$L$14 &amp; IF($I$14 =0,"","+" &amp; $I$14 &amp; "d" &amp; $K$14)</f>
        <v>48+4d6</v>
      </c>
      <c r="G25" s="347" t="str">
        <f>基本!$K$2+6+$L$14 &amp; IF($I$14 =0,"","+" &amp; $I$14 &amp; "d" &amp; $K$14)</f>
        <v>48+4d6</v>
      </c>
    </row>
    <row r="26" spans="1:13" s="173" customFormat="1" ht="21" customHeight="1" thickBot="1">
      <c r="A26" s="443"/>
      <c r="B26" s="340" t="s">
        <v>266</v>
      </c>
      <c r="C26" s="487"/>
      <c r="D26" s="341" t="str">
        <f>基本!$K$2+2+$L$14 &amp; IF($I$14 =0,"","+" &amp; $I$14 &amp; "d" &amp; $K$14)</f>
        <v>44+4d6</v>
      </c>
      <c r="E26" s="342" t="str">
        <f>基本!$K$2+2+$L$14 &amp; IF($I$14 =0,"","+" &amp; $I$14 &amp; "d" &amp; $K$14)</f>
        <v>44+4d6</v>
      </c>
      <c r="F26" s="341" t="str">
        <f>基本!$K$2+2+6+$L$14 &amp; IF($I$14 =0,"","+" &amp; $I$14 &amp; "d" &amp; $K$14)</f>
        <v>50+4d6</v>
      </c>
      <c r="G26" s="343" t="str">
        <f>基本!$K$2+2+6+$L$14 &amp; IF($I$14 =0,"","+" &amp; $I$14 &amp; "d" &amp; $K$14)</f>
        <v>50+4d6</v>
      </c>
    </row>
    <row r="27" spans="1:13" s="201" customFormat="1" ht="12">
      <c r="A27" s="480"/>
      <c r="B27" s="480"/>
      <c r="C27" s="480"/>
      <c r="D27" s="480"/>
      <c r="E27" s="480"/>
      <c r="F27" s="480"/>
      <c r="G27" s="480"/>
      <c r="H27" s="200"/>
    </row>
    <row r="28" spans="1:13" s="173" customFormat="1" ht="14.25">
      <c r="A28" s="362" t="s">
        <v>552</v>
      </c>
      <c r="B28" s="362"/>
      <c r="C28" s="362"/>
      <c r="D28" s="362"/>
      <c r="E28" s="362"/>
      <c r="F28" s="362"/>
      <c r="G28" s="362"/>
      <c r="H28" s="91"/>
    </row>
    <row r="29" spans="1:13" s="205" customFormat="1" ht="14.25">
      <c r="A29" s="362" t="s">
        <v>548</v>
      </c>
      <c r="B29" s="362"/>
      <c r="C29" s="362"/>
      <c r="D29" s="362"/>
      <c r="E29" s="362"/>
      <c r="F29" s="362"/>
      <c r="G29" s="362"/>
      <c r="H29" s="204"/>
    </row>
    <row r="30" spans="1:13" s="173" customFormat="1" ht="14.25">
      <c r="A30" s="362" t="s">
        <v>300</v>
      </c>
      <c r="B30" s="362"/>
      <c r="C30" s="362"/>
      <c r="D30" s="362"/>
      <c r="E30" s="362"/>
      <c r="F30" s="362"/>
      <c r="G30" s="362"/>
      <c r="H30" s="91"/>
    </row>
    <row r="31" spans="1:13" s="205" customFormat="1" ht="14.25">
      <c r="A31" s="362" t="s">
        <v>298</v>
      </c>
      <c r="B31" s="362"/>
      <c r="C31" s="362"/>
      <c r="D31" s="362"/>
      <c r="E31" s="362"/>
      <c r="F31" s="362"/>
      <c r="G31" s="362"/>
      <c r="H31" s="204"/>
      <c r="I31" s="204"/>
      <c r="J31" s="204"/>
      <c r="K31" s="204"/>
    </row>
    <row r="32" spans="1:13" s="173" customFormat="1" ht="14.25">
      <c r="A32" s="362" t="s">
        <v>590</v>
      </c>
      <c r="B32" s="362"/>
      <c r="C32" s="362"/>
      <c r="D32" s="362"/>
      <c r="E32" s="362"/>
      <c r="F32" s="362"/>
      <c r="G32" s="362"/>
      <c r="H32" s="91"/>
    </row>
    <row r="33" spans="1:14" s="205" customFormat="1" ht="14.25">
      <c r="A33" s="362" t="s">
        <v>220</v>
      </c>
      <c r="B33" s="362"/>
      <c r="C33" s="362"/>
      <c r="D33" s="362"/>
      <c r="E33" s="362"/>
      <c r="F33" s="362"/>
      <c r="G33" s="362"/>
      <c r="H33" s="204"/>
    </row>
    <row r="34" spans="1:14" s="173" customFormat="1" ht="14.25">
      <c r="A34" s="362" t="s">
        <v>443</v>
      </c>
      <c r="B34" s="362"/>
      <c r="C34" s="362"/>
      <c r="D34" s="362"/>
      <c r="E34" s="362"/>
      <c r="F34" s="362"/>
      <c r="G34" s="362"/>
      <c r="H34" s="91"/>
    </row>
    <row r="35" spans="1:14" s="173" customFormat="1" ht="14.25">
      <c r="A35" s="362" t="s">
        <v>535</v>
      </c>
      <c r="B35" s="362"/>
      <c r="C35" s="362"/>
      <c r="D35" s="362"/>
      <c r="E35" s="362"/>
      <c r="F35" s="362"/>
      <c r="G35" s="362"/>
    </row>
    <row r="36" spans="1:14" s="173" customFormat="1" ht="14.25">
      <c r="A36" s="362" t="s">
        <v>366</v>
      </c>
      <c r="B36" s="362"/>
      <c r="C36" s="362"/>
      <c r="D36" s="362"/>
      <c r="E36" s="362"/>
      <c r="F36" s="362"/>
      <c r="G36" s="362"/>
      <c r="H36" s="91"/>
      <c r="I36" s="91"/>
    </row>
    <row r="37" spans="1:14" s="173" customFormat="1" ht="14.25">
      <c r="A37" s="362" t="s">
        <v>215</v>
      </c>
      <c r="B37" s="362"/>
      <c r="C37" s="362"/>
      <c r="D37" s="362"/>
      <c r="E37" s="362"/>
      <c r="F37" s="362"/>
      <c r="G37" s="362"/>
      <c r="H37" s="91"/>
      <c r="I37" s="91"/>
    </row>
    <row r="38" spans="1:14" s="173" customFormat="1" ht="8.25" customHeight="1">
      <c r="A38" s="468"/>
      <c r="B38" s="468"/>
      <c r="C38" s="468"/>
      <c r="D38" s="468"/>
      <c r="E38" s="468"/>
      <c r="F38" s="468"/>
      <c r="G38" s="468"/>
      <c r="H38" s="91"/>
      <c r="I38" s="91"/>
      <c r="J38" s="91"/>
      <c r="K38" s="91"/>
    </row>
    <row r="39" spans="1:14" s="143" customFormat="1">
      <c r="A39" s="473" t="s">
        <v>49</v>
      </c>
      <c r="B39" s="474"/>
      <c r="C39" s="474"/>
      <c r="D39" s="474"/>
      <c r="E39" s="474"/>
      <c r="F39" s="474"/>
      <c r="G39" s="475"/>
      <c r="H39" s="91"/>
      <c r="I39" s="91"/>
      <c r="J39" s="91"/>
      <c r="K39" s="91"/>
      <c r="M39" s="173"/>
      <c r="N39" s="46"/>
    </row>
    <row r="40" spans="1:14" s="204" customFormat="1" ht="13.5" customHeight="1">
      <c r="A40" s="508"/>
      <c r="B40" s="509"/>
      <c r="C40" s="509"/>
      <c r="D40" s="509"/>
      <c r="E40" s="509"/>
      <c r="F40" s="509"/>
      <c r="G40" s="510"/>
      <c r="L40" s="205"/>
      <c r="M40" s="205"/>
    </row>
    <row r="41" spans="1:14" s="204" customFormat="1" ht="13.5" customHeight="1">
      <c r="A41" s="466" t="s">
        <v>309</v>
      </c>
      <c r="B41" s="359"/>
      <c r="C41" s="359"/>
      <c r="D41" s="359"/>
      <c r="E41" s="359"/>
      <c r="F41" s="359"/>
      <c r="G41" s="467"/>
      <c r="L41" s="205"/>
      <c r="M41" s="205"/>
    </row>
    <row r="42" spans="1:14" s="204" customFormat="1" ht="13.5" customHeight="1">
      <c r="A42" s="466" t="s">
        <v>551</v>
      </c>
      <c r="B42" s="359"/>
      <c r="C42" s="359"/>
      <c r="D42" s="359"/>
      <c r="E42" s="359"/>
      <c r="F42" s="359"/>
      <c r="G42" s="467"/>
      <c r="L42" s="205"/>
      <c r="M42" s="205"/>
    </row>
    <row r="43" spans="1:14" s="204" customFormat="1" ht="13.5" customHeight="1">
      <c r="A43" s="466" t="s">
        <v>546</v>
      </c>
      <c r="B43" s="359"/>
      <c r="C43" s="359"/>
      <c r="D43" s="359"/>
      <c r="E43" s="359"/>
      <c r="F43" s="359"/>
      <c r="G43" s="467"/>
      <c r="L43" s="205"/>
      <c r="M43" s="205"/>
    </row>
    <row r="44" spans="1:14" s="204" customFormat="1" ht="13.5" customHeight="1">
      <c r="A44" s="466" t="s">
        <v>547</v>
      </c>
      <c r="B44" s="359"/>
      <c r="C44" s="359"/>
      <c r="D44" s="359"/>
      <c r="E44" s="359"/>
      <c r="F44" s="359"/>
      <c r="G44" s="467"/>
      <c r="L44" s="205"/>
      <c r="M44" s="205"/>
    </row>
    <row r="45" spans="1:14" s="204" customFormat="1" ht="13.5" customHeight="1">
      <c r="A45" s="466" t="s">
        <v>554</v>
      </c>
      <c r="B45" s="359"/>
      <c r="C45" s="359"/>
      <c r="D45" s="359"/>
      <c r="E45" s="359"/>
      <c r="F45" s="359"/>
      <c r="G45" s="467"/>
      <c r="L45" s="205"/>
      <c r="M45" s="205"/>
    </row>
    <row r="46" spans="1:14" s="204" customFormat="1" ht="13.5" customHeight="1">
      <c r="A46" s="466" t="s">
        <v>553</v>
      </c>
      <c r="B46" s="359"/>
      <c r="C46" s="359"/>
      <c r="D46" s="359"/>
      <c r="E46" s="359"/>
      <c r="F46" s="359"/>
      <c r="G46" s="467"/>
      <c r="L46" s="205"/>
      <c r="M46" s="205"/>
    </row>
    <row r="47" spans="1:14" s="204" customFormat="1" ht="13.5" customHeight="1">
      <c r="A47" s="508"/>
      <c r="B47" s="509"/>
      <c r="C47" s="509"/>
      <c r="D47" s="509"/>
      <c r="E47" s="509"/>
      <c r="F47" s="509"/>
      <c r="G47" s="510"/>
      <c r="L47" s="205"/>
      <c r="M47" s="205"/>
    </row>
    <row r="48" spans="1:14" s="204" customFormat="1" ht="13.5" customHeight="1">
      <c r="A48" s="508" t="s">
        <v>310</v>
      </c>
      <c r="B48" s="509"/>
      <c r="C48" s="509"/>
      <c r="D48" s="509"/>
      <c r="E48" s="509"/>
      <c r="F48" s="509"/>
      <c r="G48" s="510"/>
      <c r="L48" s="205"/>
      <c r="M48" s="205"/>
    </row>
    <row r="49" spans="1:13" s="204" customFormat="1" ht="8.25" customHeight="1">
      <c r="A49" s="508"/>
      <c r="B49" s="509"/>
      <c r="C49" s="509"/>
      <c r="D49" s="509"/>
      <c r="E49" s="509"/>
      <c r="F49" s="509"/>
      <c r="G49" s="510"/>
      <c r="L49" s="205"/>
      <c r="M49" s="205"/>
    </row>
    <row r="50" spans="1:13" s="27" customFormat="1" ht="21">
      <c r="A50" s="89" t="s">
        <v>114</v>
      </c>
      <c r="B50" s="50">
        <f>$B$1</f>
        <v>1</v>
      </c>
      <c r="C50" s="90" t="s">
        <v>40</v>
      </c>
      <c r="D50" s="99" t="str">
        <f>$E$1</f>
        <v>無限回</v>
      </c>
      <c r="E50" s="461" t="str">
        <f>$B$2</f>
        <v>アシッド・オーブ</v>
      </c>
      <c r="F50" s="462"/>
      <c r="G50" s="463"/>
      <c r="L50" s="46"/>
      <c r="M50" s="173"/>
    </row>
  </sheetData>
  <mergeCells count="51">
    <mergeCell ref="E50:G50"/>
    <mergeCell ref="A39:G39"/>
    <mergeCell ref="A49:G49"/>
    <mergeCell ref="A40:G40"/>
    <mergeCell ref="A41:G41"/>
    <mergeCell ref="A42:G42"/>
    <mergeCell ref="A43:G43"/>
    <mergeCell ref="A47:G47"/>
    <mergeCell ref="A48:G48"/>
    <mergeCell ref="A44:G44"/>
    <mergeCell ref="A45:G45"/>
    <mergeCell ref="A46:G46"/>
    <mergeCell ref="H4:L4"/>
    <mergeCell ref="J11:K11"/>
    <mergeCell ref="B13:G13"/>
    <mergeCell ref="B14:G14"/>
    <mergeCell ref="B15:G15"/>
    <mergeCell ref="B12:G12"/>
    <mergeCell ref="B6:D6"/>
    <mergeCell ref="B7:D7"/>
    <mergeCell ref="B8:G8"/>
    <mergeCell ref="B9:G9"/>
    <mergeCell ref="B10:G10"/>
    <mergeCell ref="B1:C1"/>
    <mergeCell ref="F1:G1"/>
    <mergeCell ref="B2:G2"/>
    <mergeCell ref="B4:G4"/>
    <mergeCell ref="B5:G5"/>
    <mergeCell ref="A27:G27"/>
    <mergeCell ref="A30:G30"/>
    <mergeCell ref="J9:K9"/>
    <mergeCell ref="B11:G11"/>
    <mergeCell ref="A23:A24"/>
    <mergeCell ref="F17:G17"/>
    <mergeCell ref="C23:C24"/>
    <mergeCell ref="C25:C26"/>
    <mergeCell ref="A29:G29"/>
    <mergeCell ref="A28:G28"/>
    <mergeCell ref="A25:A26"/>
    <mergeCell ref="A19:A22"/>
    <mergeCell ref="C19:C22"/>
    <mergeCell ref="A17:C18"/>
    <mergeCell ref="D17:E17"/>
    <mergeCell ref="A33:G33"/>
    <mergeCell ref="A32:G32"/>
    <mergeCell ref="A31:G31"/>
    <mergeCell ref="A38:G38"/>
    <mergeCell ref="A37:G37"/>
    <mergeCell ref="A34:G34"/>
    <mergeCell ref="A35:G35"/>
    <mergeCell ref="A36:G36"/>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 O5</xm:sqref>
        </x14:dataValidation>
        <x14:dataValidation type="list" allowBlank="1" showInputMessage="1" showErrorMessage="1">
          <x14:formula1>
            <xm:f>基本!$B$27:$B$31</xm:f>
          </x14:formula1>
          <xm:sqref>I6 O6</xm:sqref>
        </x14:dataValidation>
        <x14:dataValidation type="list" allowBlank="1" showInputMessage="1" showErrorMessage="1">
          <x14:formula1>
            <xm:f>基本!$A$5:$A$10</xm:f>
          </x14:formula1>
          <xm:sqref>I8 I10 O8 O10 Q15 K15</xm:sqref>
        </x14:dataValidation>
        <x14:dataValidation type="list" allowBlank="1" showInputMessage="1" showErrorMessage="1">
          <x14:formula1>
            <xm:f>基本!$D$27:$D$31</xm:f>
          </x14:formula1>
          <xm:sqref>I7 O7</xm:sqref>
        </x14:dataValidation>
        <x14:dataValidation type="list" allowBlank="1" showInputMessage="1" showErrorMessage="1">
          <x14:formula1>
            <xm:f>基本!$A$16:$A$19</xm:f>
          </x14:formula1>
          <xm:sqref>K8 Q8</xm:sqref>
        </x14:dataValidation>
        <x14:dataValidation type="list" allowBlank="1" showInputMessage="1" showErrorMessage="1">
          <x14:formula1>
            <xm:f>基本!$C$27:$C$37</xm:f>
          </x14:formula1>
          <xm:sqref>I15 O15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Q50"/>
  <sheetViews>
    <sheetView topLeftCell="A4" zoomScaleNormal="100" workbookViewId="0">
      <selection activeCell="C24" sqref="C24:C25"/>
    </sheetView>
  </sheetViews>
  <sheetFormatPr defaultColWidth="9" defaultRowHeight="13.5"/>
  <cols>
    <col min="1" max="1" width="7.875" style="143" customWidth="1"/>
    <col min="2" max="2" width="8.5" style="143" customWidth="1"/>
    <col min="3" max="3" width="6.625" style="143" customWidth="1"/>
    <col min="4" max="4" width="15.75" style="14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43" customWidth="1"/>
    <col min="13" max="13" width="9.25" style="143" customWidth="1"/>
    <col min="14" max="14" width="12.375" style="143" customWidth="1"/>
    <col min="15" max="16384" width="9" style="143"/>
  </cols>
  <sheetData>
    <row r="1" spans="1:17" ht="21">
      <c r="A1" s="93" t="s">
        <v>114</v>
      </c>
      <c r="B1" s="456">
        <v>1</v>
      </c>
      <c r="C1" s="457"/>
      <c r="D1" s="95" t="s">
        <v>40</v>
      </c>
      <c r="E1" s="94" t="s">
        <v>41</v>
      </c>
      <c r="F1" s="458"/>
      <c r="G1" s="459"/>
      <c r="H1" s="96" t="s">
        <v>55</v>
      </c>
    </row>
    <row r="2" spans="1:17" ht="24.75" customHeight="1">
      <c r="A2" s="95" t="s">
        <v>0</v>
      </c>
      <c r="B2" s="460" t="s">
        <v>593</v>
      </c>
      <c r="C2" s="460"/>
      <c r="D2" s="460"/>
      <c r="E2" s="460"/>
      <c r="F2" s="460"/>
      <c r="G2" s="460"/>
      <c r="H2" s="96" t="s">
        <v>56</v>
      </c>
    </row>
    <row r="3" spans="1:17" ht="19.5" customHeight="1">
      <c r="A3" s="102" t="s">
        <v>48</v>
      </c>
      <c r="B3" s="91"/>
      <c r="C3" s="91"/>
      <c r="D3" s="91"/>
      <c r="I3" s="96"/>
    </row>
    <row r="4" spans="1:17">
      <c r="A4" s="76" t="s">
        <v>46</v>
      </c>
      <c r="B4" s="439" t="s">
        <v>203</v>
      </c>
      <c r="C4" s="440"/>
      <c r="D4" s="440"/>
      <c r="E4" s="440"/>
      <c r="F4" s="440"/>
      <c r="G4" s="441"/>
      <c r="H4" s="381" t="s">
        <v>201</v>
      </c>
      <c r="I4" s="382"/>
      <c r="J4" s="382"/>
      <c r="K4" s="382"/>
      <c r="L4" s="383"/>
    </row>
    <row r="5" spans="1:17">
      <c r="A5" s="77" t="s">
        <v>39</v>
      </c>
      <c r="B5" s="439" t="s">
        <v>204</v>
      </c>
      <c r="C5" s="440"/>
      <c r="D5" s="440"/>
      <c r="E5" s="440"/>
      <c r="F5" s="440"/>
      <c r="G5" s="441"/>
      <c r="H5" s="145" t="s">
        <v>43</v>
      </c>
      <c r="I5" s="147" t="s">
        <v>71</v>
      </c>
      <c r="J5" s="147">
        <v>10</v>
      </c>
    </row>
    <row r="6" spans="1:17">
      <c r="A6" s="77" t="s">
        <v>7</v>
      </c>
      <c r="B6" s="439" t="s">
        <v>5</v>
      </c>
      <c r="C6" s="440"/>
      <c r="D6" s="441"/>
      <c r="E6" s="145" t="s">
        <v>43</v>
      </c>
      <c r="F6" s="146" t="str">
        <f>$I$5</f>
        <v>遠隔</v>
      </c>
      <c r="G6" s="146">
        <f>IF($J$5 = 0,"", $J$5)</f>
        <v>10</v>
      </c>
      <c r="H6" s="145" t="s">
        <v>66</v>
      </c>
      <c r="I6" s="147"/>
      <c r="J6" s="147"/>
    </row>
    <row r="7" spans="1:17">
      <c r="A7" s="78" t="s">
        <v>138</v>
      </c>
      <c r="B7" s="439" t="s">
        <v>91</v>
      </c>
      <c r="C7" s="440"/>
      <c r="D7" s="441"/>
      <c r="E7" s="145" t="s">
        <v>66</v>
      </c>
      <c r="F7" s="146" t="str">
        <f>IF($I$6 = 0,"", $I$6)</f>
        <v/>
      </c>
      <c r="G7" s="146" t="str">
        <f>IF($J$6 = 0,"", $J$6)</f>
        <v/>
      </c>
      <c r="H7" s="145" t="s">
        <v>85</v>
      </c>
      <c r="I7" s="147" t="s">
        <v>210</v>
      </c>
      <c r="J7" s="96" t="s">
        <v>62</v>
      </c>
      <c r="L7" s="191" t="s">
        <v>193</v>
      </c>
    </row>
    <row r="8" spans="1:17">
      <c r="A8" s="78" t="s">
        <v>137</v>
      </c>
      <c r="B8" s="505" t="s">
        <v>205</v>
      </c>
      <c r="C8" s="506"/>
      <c r="D8" s="506"/>
      <c r="E8" s="506"/>
      <c r="F8" s="506"/>
      <c r="G8" s="507"/>
      <c r="H8" s="145" t="s">
        <v>51</v>
      </c>
      <c r="I8" s="147" t="s">
        <v>17</v>
      </c>
      <c r="J8" s="146">
        <f>IF($I$8 = "筋力",基本!$C$5,IF($I$8 = "耐久力",基本!$C$6,IF($I$8 = "敏捷力",基本!$C$7,IF($I$8 = "知力",基本!$C$8,IF($I$8 = "判断力",基本!$C$9,IF($I$8 = "魅力",基本!$C$10,""))))))</f>
        <v>6</v>
      </c>
      <c r="K8" s="147" t="s">
        <v>19</v>
      </c>
      <c r="L8" s="192">
        <f>$J$8+$L$9+$I$9</f>
        <v>21</v>
      </c>
    </row>
    <row r="9" spans="1:17" ht="14.25" customHeight="1">
      <c r="A9" s="80" t="s">
        <v>9</v>
      </c>
      <c r="B9" s="444" t="s">
        <v>206</v>
      </c>
      <c r="C9" s="445"/>
      <c r="D9" s="445"/>
      <c r="E9" s="445"/>
      <c r="F9" s="445"/>
      <c r="G9" s="446"/>
      <c r="H9" s="145" t="s">
        <v>58</v>
      </c>
      <c r="I9" s="147">
        <v>0</v>
      </c>
      <c r="J9" s="381" t="s">
        <v>53</v>
      </c>
      <c r="K9" s="383"/>
      <c r="L9" s="146">
        <f>IF($I$7=基本!$F$4,基本!$O$7,IF($I$7=基本!$F$13,基本!$O$16,IF($I$7=基本!$F$22,基本!$O$25,IF($I$7=基本!$F$31,基本!$O$34,IF($I$7=基本!$F$40,基本!$O$43,0)))))</f>
        <v>15</v>
      </c>
    </row>
    <row r="10" spans="1:17" ht="14.25" customHeight="1">
      <c r="A10" s="80"/>
      <c r="B10" s="517" t="s">
        <v>444</v>
      </c>
      <c r="C10" s="518"/>
      <c r="D10" s="518"/>
      <c r="E10" s="518"/>
      <c r="F10" s="518"/>
      <c r="G10" s="519"/>
      <c r="H10" s="144" t="s">
        <v>52</v>
      </c>
      <c r="I10" s="147" t="s">
        <v>17</v>
      </c>
      <c r="J10" s="100">
        <f>IF($I$10 = "筋力",基本!$C$5,IF($I$10 = "耐久力",基本!$C$6,IF($I$10 = "敏捷力",基本!$C$7,IF($I$10 = "知力",基本!$C$8,IF($I$10 = "判断力",基本!$C$9,IF($I$10 = "魅力",基本!$C$10,""))))))</f>
        <v>6</v>
      </c>
      <c r="L10" s="91"/>
    </row>
    <row r="11" spans="1:17" ht="14.25" customHeight="1">
      <c r="A11" s="80"/>
      <c r="B11" s="481" t="s">
        <v>207</v>
      </c>
      <c r="C11" s="482"/>
      <c r="D11" s="482"/>
      <c r="E11" s="482"/>
      <c r="F11" s="482"/>
      <c r="G11" s="483"/>
      <c r="H11" s="145" t="s">
        <v>59</v>
      </c>
      <c r="I11" s="147">
        <v>0</v>
      </c>
      <c r="J11" s="381" t="s">
        <v>54</v>
      </c>
      <c r="K11" s="383"/>
      <c r="L11" s="146">
        <f>IF($I$7=基本!$F$4,基本!$O$9,IF($I$7=基本!$F$13,基本!$O$18,IF($I$7=基本!$F$22,基本!$O$27,IF($I$7=基本!$F$31,基本!$O$36,IF($I$7=基本!$F$40,基本!$O$45,0)))))</f>
        <v>19</v>
      </c>
    </row>
    <row r="12" spans="1:17">
      <c r="A12" s="193" t="s">
        <v>208</v>
      </c>
      <c r="B12" s="511" t="s">
        <v>209</v>
      </c>
      <c r="C12" s="512"/>
      <c r="D12" s="512"/>
      <c r="E12" s="512"/>
      <c r="F12" s="512"/>
      <c r="G12" s="513"/>
      <c r="H12" s="173"/>
      <c r="I12" s="173"/>
      <c r="J12" s="173"/>
      <c r="K12" s="173"/>
      <c r="L12" s="191" t="s">
        <v>193</v>
      </c>
      <c r="M12" s="173"/>
      <c r="N12" s="173"/>
      <c r="O12" s="173"/>
      <c r="P12" s="173"/>
      <c r="Q12" s="173"/>
    </row>
    <row r="13" spans="1:17" ht="0.75" customHeight="1">
      <c r="A13" s="194"/>
      <c r="B13" s="514"/>
      <c r="C13" s="515"/>
      <c r="D13" s="515"/>
      <c r="E13" s="515"/>
      <c r="F13" s="515"/>
      <c r="G13" s="516"/>
      <c r="H13" s="177" t="s">
        <v>86</v>
      </c>
      <c r="I13" s="147">
        <v>1</v>
      </c>
      <c r="J13" s="145" t="s">
        <v>44</v>
      </c>
      <c r="K13" s="147">
        <v>8</v>
      </c>
      <c r="L13" s="192">
        <f>$J$10+$L$11+$I$11</f>
        <v>25</v>
      </c>
      <c r="M13" s="105"/>
    </row>
    <row r="14" spans="1:17" ht="0.75" customHeight="1">
      <c r="A14" s="195"/>
      <c r="B14" s="514"/>
      <c r="C14" s="515"/>
      <c r="D14" s="515"/>
      <c r="E14" s="515"/>
      <c r="F14" s="515"/>
      <c r="G14" s="516"/>
      <c r="H14" s="145" t="s">
        <v>50</v>
      </c>
      <c r="I14" s="32">
        <f>IF($I$7=基本!$F$4,基本!$L$11,IF($I$7=基本!$F$13,基本!$L$20,IF($I$7=基本!$F$22,基本!$L$29,IF($I$7=基本!$F$31,基本!$L$38,IF($I$7=基本!$F$40,基本!$L$47,0)))))</f>
        <v>4</v>
      </c>
      <c r="J14" s="177" t="s">
        <v>194</v>
      </c>
      <c r="K14" s="32">
        <f>IF($I$7=基本!$F$4,基本!$N$11,IF($I$7=基本!$F$13,基本!$N$20,IF($I$7=基本!$F$22,基本!$N$29,IF($I$7=基本!$F$31,基本!$N$38,IF($I$7=基本!$F$40,基本!$N$47,0)))))</f>
        <v>6</v>
      </c>
      <c r="L14" s="192">
        <f>$J$10+$L$11+$I$11+($I$13*$K$13)</f>
        <v>33</v>
      </c>
      <c r="M14" s="105"/>
    </row>
    <row r="15" spans="1:17" ht="0.75" customHeight="1">
      <c r="A15" s="196"/>
      <c r="B15" s="514"/>
      <c r="C15" s="515"/>
      <c r="D15" s="515"/>
      <c r="E15" s="515"/>
      <c r="F15" s="515"/>
      <c r="G15" s="516"/>
      <c r="H15" s="145" t="s">
        <v>60</v>
      </c>
      <c r="I15" s="147" t="s">
        <v>82</v>
      </c>
      <c r="J15" s="177" t="s">
        <v>195</v>
      </c>
      <c r="K15" s="179" t="s">
        <v>17</v>
      </c>
      <c r="L15" s="176">
        <f>IF(K15="",0,VLOOKUP(K15,基本!$A$5:'基本'!$C$10,3,FALSE))</f>
        <v>6</v>
      </c>
    </row>
    <row r="16" spans="1:17" ht="3" customHeight="1">
      <c r="A16" s="81"/>
      <c r="B16" s="469"/>
      <c r="C16" s="468"/>
      <c r="D16" s="468"/>
      <c r="E16" s="468"/>
      <c r="F16" s="468"/>
      <c r="G16" s="470"/>
      <c r="H16" s="143"/>
      <c r="I16" s="143"/>
      <c r="J16" s="143"/>
      <c r="K16" s="143"/>
    </row>
    <row r="17" spans="1:11" ht="14.25" thickBot="1">
      <c r="A17" s="136" t="s">
        <v>47</v>
      </c>
      <c r="E17" s="92"/>
      <c r="H17" s="143"/>
      <c r="I17" s="143"/>
      <c r="J17" s="143"/>
      <c r="K17" s="143"/>
    </row>
    <row r="18" spans="1:11" ht="13.5" customHeight="1">
      <c r="A18" s="491" t="str">
        <f>$B$2</f>
        <v>ドラゴン・フロスト</v>
      </c>
      <c r="B18" s="492"/>
      <c r="C18" s="493"/>
      <c r="D18" s="497" t="s">
        <v>2</v>
      </c>
      <c r="E18" s="498"/>
      <c r="F18" s="484" t="s">
        <v>272</v>
      </c>
      <c r="G18" s="485"/>
      <c r="H18" s="143"/>
      <c r="I18" s="143"/>
      <c r="J18" s="143"/>
      <c r="K18" s="143"/>
    </row>
    <row r="19" spans="1:11" ht="15.75" customHeight="1" thickBot="1">
      <c r="A19" s="494"/>
      <c r="B19" s="495"/>
      <c r="C19" s="496"/>
      <c r="D19" s="160" t="s">
        <v>2</v>
      </c>
      <c r="E19" s="215" t="s">
        <v>1</v>
      </c>
      <c r="F19" s="160" t="s">
        <v>2</v>
      </c>
      <c r="G19" s="214" t="s">
        <v>1</v>
      </c>
      <c r="H19" s="143"/>
      <c r="I19" s="143"/>
      <c r="J19" s="143"/>
      <c r="K19" s="143"/>
    </row>
    <row r="20" spans="1:11" s="173" customFormat="1" ht="24" customHeight="1">
      <c r="A20" s="450" t="s">
        <v>42</v>
      </c>
      <c r="B20" s="225" t="s">
        <v>113</v>
      </c>
      <c r="C20" s="488" t="str">
        <f>$K$8</f>
        <v>頑健</v>
      </c>
      <c r="D20" s="222" t="str">
        <f>$L$8 &amp; "+1d20"</f>
        <v>21+1d20</v>
      </c>
      <c r="E20" s="223" t="str">
        <f>$L$8+2 &amp; "+1d20"</f>
        <v>23+1d20</v>
      </c>
      <c r="F20" s="222" t="str">
        <f>$L$8 &amp; "+1d20"</f>
        <v>21+1d20</v>
      </c>
      <c r="G20" s="224" t="str">
        <f>$L$8+2 &amp; "+1d20"</f>
        <v>23+1d20</v>
      </c>
    </row>
    <row r="21" spans="1:11" s="173" customFormat="1" ht="24" customHeight="1">
      <c r="A21" s="451"/>
      <c r="B21" s="319" t="s">
        <v>427</v>
      </c>
      <c r="C21" s="489"/>
      <c r="D21" s="313" t="str">
        <f>$L$8 -5&amp; "+1d20"</f>
        <v>16+1d20</v>
      </c>
      <c r="E21" s="314" t="str">
        <f>$L$8+2 -5&amp; "+1d20"</f>
        <v>18+1d20</v>
      </c>
      <c r="F21" s="313" t="str">
        <f>$L$8 -5&amp; "+1d20"</f>
        <v>16+1d20</v>
      </c>
      <c r="G21" s="315" t="str">
        <f>$L$8+2 -5&amp; "+1d20"</f>
        <v>18+1d20</v>
      </c>
    </row>
    <row r="22" spans="1:11" s="173" customFormat="1" ht="24" customHeight="1">
      <c r="A22" s="451"/>
      <c r="B22" s="321" t="s">
        <v>429</v>
      </c>
      <c r="C22" s="489"/>
      <c r="D22" s="316" t="str">
        <f>3+$L$8 &amp; "+1d20"</f>
        <v>24+1d20</v>
      </c>
      <c r="E22" s="317" t="str">
        <f>3+$L$8+2 &amp; "+1d20"</f>
        <v>26+1d20</v>
      </c>
      <c r="F22" s="316" t="str">
        <f>3+$L$8 &amp; "+1d20"</f>
        <v>24+1d20</v>
      </c>
      <c r="G22" s="318" t="str">
        <f>3+$L$8+2 &amp; "+1d20"</f>
        <v>26+1d20</v>
      </c>
    </row>
    <row r="23" spans="1:11" s="173" customFormat="1" ht="24" customHeight="1" thickBot="1">
      <c r="A23" s="452"/>
      <c r="B23" s="320" t="s">
        <v>428</v>
      </c>
      <c r="C23" s="490"/>
      <c r="D23" s="226" t="str">
        <f>3+$L$8 -5&amp; "+1d20"</f>
        <v>19+1d20</v>
      </c>
      <c r="E23" s="227" t="str">
        <f>3+$L$8+2 -5&amp; "+1d20"</f>
        <v>21+1d20</v>
      </c>
      <c r="F23" s="226" t="str">
        <f>3+$L$8 -5&amp; "+1d20"</f>
        <v>19+1d20</v>
      </c>
      <c r="G23" s="228" t="str">
        <f>3+$L$8+2 -5&amp; "+1d20"</f>
        <v>21+1d20</v>
      </c>
    </row>
    <row r="24" spans="1:11" s="173" customFormat="1" ht="21" customHeight="1">
      <c r="A24" s="442" t="s">
        <v>513</v>
      </c>
      <c r="B24" s="348" t="s">
        <v>2</v>
      </c>
      <c r="C24" s="521" t="str">
        <f>IF($I$15 = 0,"", $I$15)</f>
        <v>冷気</v>
      </c>
      <c r="D24" s="63" t="str">
        <f>基本!$K$2+$L$13 &amp; "+" &amp; $I$13 &amp; "d" &amp; $K$13</f>
        <v>27+1d8</v>
      </c>
      <c r="E24" s="349" t="str">
        <f>基本!$K$2+$L$13 &amp; "+" &amp; $I$13 &amp; "d" &amp; $K$13</f>
        <v>27+1d8</v>
      </c>
      <c r="F24" s="63" t="str">
        <f>基本!$K$2+$L$13 &amp; "+" &amp; $I$13 &amp; "d" &amp; $K$13&amp;"+1d6"</f>
        <v>27+1d8+1d6</v>
      </c>
      <c r="G24" s="64" t="str">
        <f>基本!$K$2+$L$13 &amp; "+" &amp; $I$13 &amp; "d" &amp; $K$13&amp;"+1d6"</f>
        <v>27+1d8+1d6</v>
      </c>
    </row>
    <row r="25" spans="1:11" s="173" customFormat="1" ht="21" customHeight="1" thickBot="1">
      <c r="A25" s="443"/>
      <c r="B25" s="350" t="s">
        <v>266</v>
      </c>
      <c r="C25" s="522"/>
      <c r="D25" s="351" t="str">
        <f>基本!$K$2+2+$L$13 &amp; "+" &amp; $I$13 &amp; "d" &amp; $K$13</f>
        <v>29+1d8</v>
      </c>
      <c r="E25" s="352" t="str">
        <f>基本!$K$2+2+$L$13 &amp; "+" &amp; $I$13 &amp; "d" &amp; $K$13</f>
        <v>29+1d8</v>
      </c>
      <c r="F25" s="351" t="str">
        <f>基本!$K$2+2+$L$13 &amp; "+" &amp; $I$13 &amp; "d" &amp; $K$13&amp;"+1d6"</f>
        <v>29+1d8+1d6</v>
      </c>
      <c r="G25" s="353" t="str">
        <f>基本!$K$2+2+$L$13 &amp; "+" &amp; $I$13 &amp; "d" &amp; $K$13&amp;"+1d6"</f>
        <v>29+1d8+1d6</v>
      </c>
    </row>
    <row r="26" spans="1:11" s="173" customFormat="1" ht="21" customHeight="1">
      <c r="A26" s="442" t="s">
        <v>600</v>
      </c>
      <c r="B26" s="344" t="s">
        <v>2</v>
      </c>
      <c r="C26" s="486" t="s">
        <v>602</v>
      </c>
      <c r="D26" s="345" t="str">
        <f>基本!$K$2+$L$14 &amp; IF($I$14 =0,"","+" &amp; $I$14 &amp; "d" &amp; $K$14)</f>
        <v>35+4d6</v>
      </c>
      <c r="E26" s="346" t="str">
        <f>基本!$K$2+$L$14 &amp; IF($I$14 =0,"","+" &amp; $I$14 &amp; "d" &amp; $K$14)</f>
        <v>35+4d6</v>
      </c>
      <c r="F26" s="345" t="str">
        <f>基本!$K$2+6+$L$14 &amp; IF($I$14 =0,"","+" &amp; $I$14 &amp; "d" &amp; $K$14)</f>
        <v>41+4d6</v>
      </c>
      <c r="G26" s="347" t="str">
        <f>基本!$K$2+6+$L$14 &amp; IF($I$14 =0,"","+" &amp; $I$14 &amp; "d" &amp; $K$14)</f>
        <v>41+4d6</v>
      </c>
    </row>
    <row r="27" spans="1:11" s="173" customFormat="1" ht="21" customHeight="1" thickBot="1">
      <c r="A27" s="443"/>
      <c r="B27" s="340" t="s">
        <v>266</v>
      </c>
      <c r="C27" s="487"/>
      <c r="D27" s="341" t="str">
        <f>基本!$K$2+2+$L$14 &amp; IF($I$14 =0,"","+" &amp; $I$14 &amp; "d" &amp; $K$14)</f>
        <v>37+4d6</v>
      </c>
      <c r="E27" s="342" t="str">
        <f>基本!$K$2+2+$L$14 &amp; IF($I$14 =0,"","+" &amp; $I$14 &amp; "d" &amp; $K$14)</f>
        <v>37+4d6</v>
      </c>
      <c r="F27" s="341" t="str">
        <f>基本!$K$2+2+6+$L$14 &amp; IF($I$14 =0,"","+" &amp; $I$14 &amp; "d" &amp; $K$14)</f>
        <v>43+4d6</v>
      </c>
      <c r="G27" s="343" t="str">
        <f>基本!$K$2+2+6+$L$14 &amp; IF($I$14 =0,"","+" &amp; $I$14 &amp; "d" &amp; $K$14)</f>
        <v>43+4d6</v>
      </c>
    </row>
    <row r="28" spans="1:11" s="173" customFormat="1" ht="21" customHeight="1">
      <c r="A28" s="520" t="s">
        <v>113</v>
      </c>
      <c r="B28" s="348" t="s">
        <v>2</v>
      </c>
      <c r="C28" s="521" t="str">
        <f>IF($I$15 = 0,"", $I$15)</f>
        <v>冷気</v>
      </c>
      <c r="D28" s="111" t="str">
        <f>$L$13 &amp; "+" &amp; $I$13 &amp; "d" &amp; $K$13</f>
        <v>25+1d8</v>
      </c>
      <c r="E28" s="216" t="str">
        <f>$L$13 &amp; "+" &amp; $I$13 &amp; "d" &amp; $K$13</f>
        <v>25+1d8</v>
      </c>
      <c r="F28" s="111" t="str">
        <f>$L$13 &amp; "+" &amp; $I$13 &amp; "d" &amp; $K$13&amp;"+1d6"</f>
        <v>25+1d8+1d6</v>
      </c>
      <c r="G28" s="158" t="str">
        <f>$L$13 &amp; "+" &amp; $I$13 &amp; "d" &amp; $K$13&amp;"+1d6"</f>
        <v>25+1d8+1d6</v>
      </c>
    </row>
    <row r="29" spans="1:11" s="173" customFormat="1" ht="21" customHeight="1" thickBot="1">
      <c r="A29" s="479"/>
      <c r="B29" s="350" t="s">
        <v>266</v>
      </c>
      <c r="C29" s="522"/>
      <c r="D29" s="351" t="str">
        <f>2+$L$13 &amp; "+" &amp; $I$13 &amp; "d" &amp; $K$13</f>
        <v>27+1d8</v>
      </c>
      <c r="E29" s="352" t="str">
        <f>2+$L$13 &amp; "+" &amp; $I$13 &amp; "d" &amp; $K$13</f>
        <v>27+1d8</v>
      </c>
      <c r="F29" s="351" t="str">
        <f>2+$L$13 &amp; "+" &amp; $I$13 &amp; "d" &amp; $K$13&amp;"+1d6"</f>
        <v>27+1d8+1d6</v>
      </c>
      <c r="G29" s="353" t="str">
        <f>2+$L$13 &amp; "+" &amp; $I$13 &amp; "d" &amp; $K$13&amp;"+1d6"</f>
        <v>27+1d8+1d6</v>
      </c>
    </row>
    <row r="30" spans="1:11" s="173" customFormat="1" ht="21" customHeight="1">
      <c r="A30" s="478" t="s">
        <v>603</v>
      </c>
      <c r="B30" s="344" t="s">
        <v>2</v>
      </c>
      <c r="C30" s="486" t="s">
        <v>602</v>
      </c>
      <c r="D30" s="345" t="str">
        <f>$L$14 &amp; IF($I$14 = 0,"","+" &amp; $I$14 &amp; "d" &amp; $K$14)</f>
        <v>33+4d6</v>
      </c>
      <c r="E30" s="346" t="str">
        <f>$L$14 &amp; IF($I$14 = 0,"","+" &amp; $I$14 &amp; "d" &amp; $K$14)</f>
        <v>33+4d6</v>
      </c>
      <c r="F30" s="345" t="str">
        <f>6+$L$14 &amp; IF($I$14 = 0,"","+" &amp; $I$14 &amp; "d" &amp; $K$14)</f>
        <v>39+4d6</v>
      </c>
      <c r="G30" s="347" t="str">
        <f>6+$L$14 &amp; IF($I$14 = 0,"","+" &amp; $I$14 &amp; "d" &amp; $K$14)</f>
        <v>39+4d6</v>
      </c>
    </row>
    <row r="31" spans="1:11" s="173" customFormat="1" ht="21" customHeight="1" thickBot="1">
      <c r="A31" s="479"/>
      <c r="B31" s="340" t="s">
        <v>266</v>
      </c>
      <c r="C31" s="487"/>
      <c r="D31" s="106" t="str">
        <f>2+$L$14 &amp; IF($I$14 = 0,"","+" &amp; $I$14 &amp; "d" &amp; $K$14)</f>
        <v>35+4d6</v>
      </c>
      <c r="E31" s="217" t="str">
        <f>2+$L$14 &amp; IF($I$14 = 0,"","+" &amp; $I$14 &amp; "d" &amp; $K$14)</f>
        <v>35+4d6</v>
      </c>
      <c r="F31" s="106" t="str">
        <f>2+6+$L$14 &amp; IF($I$14 = 0,"","+" &amp; $I$14 &amp; "d" &amp; $K$14)</f>
        <v>41+4d6</v>
      </c>
      <c r="G31" s="103" t="str">
        <f>2+6+$L$14 &amp; IF($I$14 = 0,"","+" &amp; $I$14 &amp; "d" &amp; $K$14)</f>
        <v>41+4d6</v>
      </c>
    </row>
    <row r="32" spans="1:11" s="203" customFormat="1" ht="9.75" customHeight="1">
      <c r="A32" s="480"/>
      <c r="B32" s="480"/>
      <c r="C32" s="480"/>
      <c r="D32" s="480"/>
      <c r="E32" s="480"/>
      <c r="F32" s="480"/>
      <c r="G32" s="480"/>
      <c r="H32" s="202"/>
    </row>
    <row r="33" spans="1:13" s="173" customFormat="1" ht="14.25">
      <c r="A33" s="362" t="s">
        <v>299</v>
      </c>
      <c r="B33" s="362"/>
      <c r="C33" s="362"/>
      <c r="D33" s="362"/>
      <c r="E33" s="362"/>
      <c r="F33" s="362"/>
      <c r="G33" s="362"/>
      <c r="H33" s="91"/>
    </row>
    <row r="34" spans="1:13" s="205" customFormat="1" ht="14.25">
      <c r="A34" s="362" t="s">
        <v>298</v>
      </c>
      <c r="B34" s="362"/>
      <c r="C34" s="362"/>
      <c r="D34" s="362"/>
      <c r="E34" s="362"/>
      <c r="F34" s="362"/>
      <c r="G34" s="362"/>
      <c r="H34" s="204"/>
      <c r="I34" s="204"/>
      <c r="J34" s="204"/>
      <c r="K34" s="204"/>
    </row>
    <row r="35" spans="1:13" s="203" customFormat="1" ht="14.25">
      <c r="A35" s="362" t="s">
        <v>301</v>
      </c>
      <c r="B35" s="362"/>
      <c r="C35" s="362"/>
      <c r="D35" s="362"/>
      <c r="E35" s="362"/>
      <c r="F35" s="362"/>
      <c r="G35" s="362"/>
      <c r="H35" s="202"/>
    </row>
    <row r="36" spans="1:13" s="205" customFormat="1" ht="14.25">
      <c r="A36" s="362" t="s">
        <v>220</v>
      </c>
      <c r="B36" s="362"/>
      <c r="C36" s="362"/>
      <c r="D36" s="362"/>
      <c r="E36" s="362"/>
      <c r="F36" s="362"/>
      <c r="G36" s="362"/>
      <c r="H36" s="204"/>
    </row>
    <row r="37" spans="1:13" s="173" customFormat="1" ht="14.25">
      <c r="A37" s="362" t="s">
        <v>443</v>
      </c>
      <c r="B37" s="362"/>
      <c r="C37" s="362"/>
      <c r="D37" s="362"/>
      <c r="E37" s="362"/>
      <c r="F37" s="362"/>
      <c r="G37" s="362"/>
      <c r="H37" s="91"/>
    </row>
    <row r="38" spans="1:13" s="173" customFormat="1" ht="14.25">
      <c r="A38" s="362" t="s">
        <v>535</v>
      </c>
      <c r="B38" s="362"/>
      <c r="C38" s="362"/>
      <c r="D38" s="362"/>
      <c r="E38" s="362"/>
      <c r="F38" s="362"/>
      <c r="G38" s="362"/>
    </row>
    <row r="39" spans="1:13" s="173" customFormat="1" ht="14.25">
      <c r="A39" s="362" t="s">
        <v>366</v>
      </c>
      <c r="B39" s="362"/>
      <c r="C39" s="362"/>
      <c r="D39" s="362"/>
      <c r="E39" s="362"/>
      <c r="F39" s="362"/>
      <c r="G39" s="362"/>
      <c r="H39" s="91"/>
      <c r="I39" s="91"/>
    </row>
    <row r="40" spans="1:13" s="173" customFormat="1" ht="14.25">
      <c r="A40" s="362" t="s">
        <v>215</v>
      </c>
      <c r="B40" s="362"/>
      <c r="C40" s="362"/>
      <c r="D40" s="362"/>
      <c r="E40" s="362"/>
      <c r="F40" s="362"/>
      <c r="G40" s="362"/>
      <c r="H40" s="91"/>
      <c r="I40" s="91"/>
    </row>
    <row r="41" spans="1:13" s="203" customFormat="1" ht="8.25" customHeight="1">
      <c r="A41" s="523"/>
      <c r="B41" s="523"/>
      <c r="C41" s="523"/>
      <c r="D41" s="523"/>
      <c r="E41" s="523"/>
      <c r="F41" s="523"/>
      <c r="G41" s="523"/>
      <c r="H41" s="202"/>
      <c r="I41" s="202"/>
      <c r="J41" s="202"/>
      <c r="K41" s="202"/>
    </row>
    <row r="42" spans="1:13" s="205" customFormat="1" ht="13.5" customHeight="1">
      <c r="A42" s="473" t="s">
        <v>49</v>
      </c>
      <c r="B42" s="474"/>
      <c r="C42" s="474"/>
      <c r="D42" s="474"/>
      <c r="E42" s="474"/>
      <c r="F42" s="474"/>
      <c r="G42" s="475"/>
      <c r="H42" s="204"/>
      <c r="I42" s="204"/>
      <c r="J42" s="204"/>
      <c r="K42" s="204"/>
    </row>
    <row r="43" spans="1:13" s="204" customFormat="1" ht="10.5" customHeight="1">
      <c r="A43" s="466"/>
      <c r="B43" s="359"/>
      <c r="C43" s="359"/>
      <c r="D43" s="359"/>
      <c r="E43" s="359"/>
      <c r="F43" s="359"/>
      <c r="G43" s="467"/>
      <c r="L43" s="205"/>
    </row>
    <row r="44" spans="1:13" s="204" customFormat="1" ht="13.5" customHeight="1">
      <c r="A44" s="466" t="s">
        <v>374</v>
      </c>
      <c r="B44" s="359"/>
      <c r="C44" s="359"/>
      <c r="D44" s="359"/>
      <c r="E44" s="359"/>
      <c r="F44" s="359"/>
      <c r="G44" s="467"/>
      <c r="L44" s="205"/>
      <c r="M44" s="205"/>
    </row>
    <row r="45" spans="1:13" s="204" customFormat="1" ht="13.5" customHeight="1">
      <c r="A45" s="466" t="s">
        <v>514</v>
      </c>
      <c r="B45" s="359"/>
      <c r="C45" s="359"/>
      <c r="D45" s="359"/>
      <c r="E45" s="359"/>
      <c r="F45" s="359"/>
      <c r="G45" s="467"/>
      <c r="L45" s="205"/>
      <c r="M45" s="205"/>
    </row>
    <row r="46" spans="1:13" s="204" customFormat="1" ht="13.5" customHeight="1">
      <c r="A46" s="466" t="s">
        <v>545</v>
      </c>
      <c r="B46" s="359"/>
      <c r="C46" s="359"/>
      <c r="D46" s="359"/>
      <c r="E46" s="359"/>
      <c r="F46" s="359"/>
      <c r="G46" s="467"/>
      <c r="L46" s="205"/>
      <c r="M46" s="205"/>
    </row>
    <row r="47" spans="1:13" s="204" customFormat="1" ht="7.5" customHeight="1">
      <c r="A47" s="508"/>
      <c r="B47" s="509"/>
      <c r="C47" s="509"/>
      <c r="D47" s="509"/>
      <c r="E47" s="509"/>
      <c r="F47" s="509"/>
      <c r="G47" s="510"/>
      <c r="L47" s="205"/>
      <c r="M47" s="205"/>
    </row>
    <row r="48" spans="1:13" s="204" customFormat="1" ht="13.5" customHeight="1">
      <c r="A48" s="508" t="s">
        <v>311</v>
      </c>
      <c r="B48" s="509"/>
      <c r="C48" s="509"/>
      <c r="D48" s="509"/>
      <c r="E48" s="509"/>
      <c r="F48" s="509"/>
      <c r="G48" s="510"/>
      <c r="L48" s="205"/>
      <c r="M48" s="205"/>
    </row>
    <row r="49" spans="1:13" s="204" customFormat="1" ht="8.25" customHeight="1">
      <c r="A49" s="508"/>
      <c r="B49" s="509"/>
      <c r="C49" s="509"/>
      <c r="D49" s="509"/>
      <c r="E49" s="509"/>
      <c r="F49" s="509"/>
      <c r="G49" s="510"/>
      <c r="L49" s="205"/>
      <c r="M49" s="205"/>
    </row>
    <row r="50" spans="1:13" s="91" customFormat="1" ht="21">
      <c r="A50" s="97" t="s">
        <v>114</v>
      </c>
      <c r="B50" s="148">
        <f>$B$1</f>
        <v>1</v>
      </c>
      <c r="C50" s="98" t="s">
        <v>40</v>
      </c>
      <c r="D50" s="99" t="str">
        <f>$E$1</f>
        <v>無限回</v>
      </c>
      <c r="E50" s="461" t="str">
        <f>$B$2</f>
        <v>ドラゴン・フロスト</v>
      </c>
      <c r="F50" s="462"/>
      <c r="G50" s="463"/>
      <c r="L50" s="143"/>
    </row>
  </sheetData>
  <mergeCells count="51">
    <mergeCell ref="A30:A31"/>
    <mergeCell ref="C30:C31"/>
    <mergeCell ref="A41:G41"/>
    <mergeCell ref="A42:G42"/>
    <mergeCell ref="A34:G34"/>
    <mergeCell ref="A38:G38"/>
    <mergeCell ref="A39:G39"/>
    <mergeCell ref="A40:G40"/>
    <mergeCell ref="A36:G36"/>
    <mergeCell ref="A37:G37"/>
    <mergeCell ref="A35:G35"/>
    <mergeCell ref="E50:G50"/>
    <mergeCell ref="A43:G43"/>
    <mergeCell ref="A46:G46"/>
    <mergeCell ref="A44:G44"/>
    <mergeCell ref="A45:G45"/>
    <mergeCell ref="A49:G49"/>
    <mergeCell ref="A47:G47"/>
    <mergeCell ref="A48:G48"/>
    <mergeCell ref="H4:L4"/>
    <mergeCell ref="B6:D6"/>
    <mergeCell ref="B7:D7"/>
    <mergeCell ref="B8:G8"/>
    <mergeCell ref="B9:G9"/>
    <mergeCell ref="B5:G5"/>
    <mergeCell ref="J11:K11"/>
    <mergeCell ref="J9:K9"/>
    <mergeCell ref="B11:G11"/>
    <mergeCell ref="B10:G10"/>
    <mergeCell ref="A28:A29"/>
    <mergeCell ref="C28:C29"/>
    <mergeCell ref="A24:A25"/>
    <mergeCell ref="C24:C25"/>
    <mergeCell ref="A26:A27"/>
    <mergeCell ref="C26:C27"/>
    <mergeCell ref="B1:C1"/>
    <mergeCell ref="F1:G1"/>
    <mergeCell ref="B2:G2"/>
    <mergeCell ref="B4:G4"/>
    <mergeCell ref="A33:G33"/>
    <mergeCell ref="D18:E18"/>
    <mergeCell ref="B12:G12"/>
    <mergeCell ref="B13:G13"/>
    <mergeCell ref="B14:G14"/>
    <mergeCell ref="B15:G15"/>
    <mergeCell ref="F18:G18"/>
    <mergeCell ref="A20:A23"/>
    <mergeCell ref="C20:C23"/>
    <mergeCell ref="B16:G16"/>
    <mergeCell ref="A18:C19"/>
    <mergeCell ref="A32:G32"/>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Q52"/>
  <sheetViews>
    <sheetView zoomScaleNormal="100" workbookViewId="0">
      <selection activeCell="B2" sqref="B2:G2"/>
    </sheetView>
  </sheetViews>
  <sheetFormatPr defaultColWidth="9" defaultRowHeight="13.5"/>
  <cols>
    <col min="1" max="1" width="7.875" style="143" customWidth="1"/>
    <col min="2" max="2" width="8.5" style="143" customWidth="1"/>
    <col min="3" max="3" width="6.625" style="143" customWidth="1"/>
    <col min="4" max="4" width="15.75" style="14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43" customWidth="1"/>
    <col min="13" max="13" width="9.25" style="143" customWidth="1"/>
    <col min="14" max="14" width="12.375" style="143" customWidth="1"/>
    <col min="15" max="16384" width="9" style="143"/>
  </cols>
  <sheetData>
    <row r="1" spans="1:17" ht="21">
      <c r="A1" s="534" t="s">
        <v>458</v>
      </c>
      <c r="B1" s="535"/>
      <c r="C1" s="536"/>
      <c r="D1" s="39" t="s">
        <v>40</v>
      </c>
      <c r="E1" s="40" t="s">
        <v>111</v>
      </c>
      <c r="F1" s="531"/>
      <c r="G1" s="532"/>
      <c r="H1" s="96" t="s">
        <v>55</v>
      </c>
    </row>
    <row r="2" spans="1:17" ht="24.75" customHeight="1">
      <c r="A2" s="39" t="s">
        <v>0</v>
      </c>
      <c r="B2" s="533" t="s">
        <v>459</v>
      </c>
      <c r="C2" s="533"/>
      <c r="D2" s="533"/>
      <c r="E2" s="533"/>
      <c r="F2" s="533"/>
      <c r="G2" s="533"/>
      <c r="H2" s="96" t="s">
        <v>56</v>
      </c>
    </row>
    <row r="3" spans="1:17" ht="19.5" customHeight="1">
      <c r="A3" s="102" t="s">
        <v>48</v>
      </c>
      <c r="B3" s="91"/>
      <c r="C3" s="91"/>
      <c r="D3" s="91"/>
      <c r="I3" s="96"/>
    </row>
    <row r="4" spans="1:17">
      <c r="A4" s="76" t="s">
        <v>46</v>
      </c>
      <c r="B4" s="439" t="s">
        <v>501</v>
      </c>
      <c r="C4" s="440"/>
      <c r="D4" s="440"/>
      <c r="E4" s="440"/>
      <c r="F4" s="440"/>
      <c r="G4" s="441"/>
      <c r="H4" s="381" t="s">
        <v>201</v>
      </c>
      <c r="I4" s="382"/>
      <c r="J4" s="382"/>
      <c r="K4" s="382"/>
      <c r="L4" s="383"/>
    </row>
    <row r="5" spans="1:17">
      <c r="A5" s="77" t="s">
        <v>39</v>
      </c>
      <c r="B5" s="439" t="s">
        <v>461</v>
      </c>
      <c r="C5" s="440"/>
      <c r="D5" s="440"/>
      <c r="E5" s="440"/>
      <c r="F5" s="440"/>
      <c r="G5" s="441"/>
      <c r="H5" s="151" t="s">
        <v>43</v>
      </c>
      <c r="I5" s="153" t="s">
        <v>83</v>
      </c>
      <c r="J5" s="153">
        <v>10</v>
      </c>
    </row>
    <row r="6" spans="1:17">
      <c r="A6" s="77" t="s">
        <v>7</v>
      </c>
      <c r="B6" s="439" t="s">
        <v>5</v>
      </c>
      <c r="C6" s="440"/>
      <c r="D6" s="441"/>
      <c r="E6" s="151" t="s">
        <v>43</v>
      </c>
      <c r="F6" s="152" t="str">
        <f>$I$5</f>
        <v>遠隔範囲</v>
      </c>
      <c r="G6" s="152">
        <f>IF($J$5 = 0,"", $J$5)</f>
        <v>10</v>
      </c>
      <c r="H6" s="151" t="s">
        <v>66</v>
      </c>
      <c r="I6" s="153" t="s">
        <v>67</v>
      </c>
      <c r="J6" s="210" t="s">
        <v>271</v>
      </c>
    </row>
    <row r="7" spans="1:17">
      <c r="A7" s="78" t="s">
        <v>6</v>
      </c>
      <c r="B7" s="439" t="s">
        <v>460</v>
      </c>
      <c r="C7" s="440"/>
      <c r="D7" s="441"/>
      <c r="E7" s="151" t="s">
        <v>66</v>
      </c>
      <c r="F7" s="152" t="str">
        <f>IF($I$6 = 0,"", $I$6)</f>
        <v>爆発</v>
      </c>
      <c r="G7" s="159" t="str">
        <f>IF($J$6 = 0,"", $J$6)</f>
        <v>1 or 2</v>
      </c>
      <c r="H7" s="151" t="s">
        <v>85</v>
      </c>
      <c r="I7" s="310" t="s">
        <v>439</v>
      </c>
      <c r="J7" s="96" t="s">
        <v>62</v>
      </c>
      <c r="L7" s="191" t="s">
        <v>193</v>
      </c>
    </row>
    <row r="8" spans="1:17">
      <c r="A8" s="78" t="s">
        <v>8</v>
      </c>
      <c r="B8" s="439" t="s">
        <v>462</v>
      </c>
      <c r="C8" s="440"/>
      <c r="D8" s="440"/>
      <c r="E8" s="440"/>
      <c r="F8" s="440"/>
      <c r="G8" s="441"/>
      <c r="H8" s="151" t="s">
        <v>51</v>
      </c>
      <c r="I8" s="153" t="s">
        <v>17</v>
      </c>
      <c r="J8" s="152">
        <f>IF($I$8 = "筋力",基本!$C$5,IF($I$8 = "耐久力",基本!$C$6,IF($I$8 = "敏捷力",基本!$C$7,IF($I$8 = "知力",基本!$C$8,IF($I$8 = "判断力",基本!$C$9,IF($I$8 = "魅力",基本!$C$10,""))))))</f>
        <v>6</v>
      </c>
      <c r="K8" s="153" t="s">
        <v>20</v>
      </c>
      <c r="L8" s="192">
        <f>$J$8+$L$9+$I$9</f>
        <v>20</v>
      </c>
    </row>
    <row r="9" spans="1:17" ht="14.25" customHeight="1">
      <c r="A9" s="80" t="s">
        <v>9</v>
      </c>
      <c r="B9" s="444" t="s">
        <v>464</v>
      </c>
      <c r="C9" s="445"/>
      <c r="D9" s="445"/>
      <c r="E9" s="445"/>
      <c r="F9" s="445"/>
      <c r="G9" s="446"/>
      <c r="H9" s="151" t="s">
        <v>58</v>
      </c>
      <c r="I9" s="153">
        <v>0</v>
      </c>
      <c r="J9" s="381" t="s">
        <v>53</v>
      </c>
      <c r="K9" s="383"/>
      <c r="L9" s="152">
        <f>IF($I$7=基本!$F$4,基本!$O$7,IF($I$7=基本!$F$13,基本!$O$16,IF($I$7=基本!$F$22,基本!$O$25,IF($I$7=基本!$F$31,基本!$O$34,IF($I$7=基本!$F$40,基本!$O$43,0)))))</f>
        <v>14</v>
      </c>
    </row>
    <row r="10" spans="1:17" ht="14.25" customHeight="1">
      <c r="A10" s="80"/>
      <c r="B10" s="481" t="s">
        <v>463</v>
      </c>
      <c r="C10" s="482"/>
      <c r="D10" s="482"/>
      <c r="E10" s="482"/>
      <c r="F10" s="482"/>
      <c r="G10" s="483"/>
      <c r="H10" s="150" t="s">
        <v>52</v>
      </c>
      <c r="I10" s="153" t="s">
        <v>17</v>
      </c>
      <c r="J10" s="100">
        <f>IF($I$10 = "筋力",基本!$C$5,IF($I$10 = "耐久力",基本!$C$6,IF($I$10 = "敏捷力",基本!$C$7,IF($I$10 = "知力",基本!$C$8,IF($I$10 = "判断力",基本!$C$9,IF($I$10 = "魅力",基本!$C$10,""))))))</f>
        <v>6</v>
      </c>
      <c r="L10" s="91"/>
    </row>
    <row r="11" spans="1:17" ht="7.5" customHeight="1">
      <c r="A11" s="81"/>
      <c r="B11" s="502"/>
      <c r="C11" s="503"/>
      <c r="D11" s="503"/>
      <c r="E11" s="503"/>
      <c r="F11" s="503"/>
      <c r="G11" s="504"/>
      <c r="H11" s="151" t="s">
        <v>59</v>
      </c>
      <c r="I11" s="153">
        <v>0</v>
      </c>
      <c r="J11" s="381" t="s">
        <v>54</v>
      </c>
      <c r="K11" s="383"/>
      <c r="L11" s="152">
        <f>IF($I$7=基本!$F$4,基本!$O$9,IF($I$7=基本!$F$13,基本!$O$18,IF($I$7=基本!$F$22,基本!$O$27,IF($I$7=基本!$F$31,基本!$O$36,IF($I$7=基本!$F$40,基本!$O$45,0)))))</f>
        <v>24</v>
      </c>
    </row>
    <row r="12" spans="1:17">
      <c r="A12" s="80" t="s">
        <v>61</v>
      </c>
      <c r="B12" s="481" t="s">
        <v>465</v>
      </c>
      <c r="C12" s="482"/>
      <c r="D12" s="482"/>
      <c r="E12" s="482"/>
      <c r="F12" s="482"/>
      <c r="G12" s="483"/>
      <c r="L12" s="191" t="s">
        <v>193</v>
      </c>
      <c r="M12" s="173"/>
      <c r="N12" s="173"/>
      <c r="O12" s="173"/>
      <c r="P12" s="173"/>
      <c r="Q12" s="173"/>
    </row>
    <row r="13" spans="1:17" ht="13.5" customHeight="1">
      <c r="A13" s="80"/>
      <c r="B13" s="481" t="s">
        <v>466</v>
      </c>
      <c r="C13" s="482"/>
      <c r="D13" s="482"/>
      <c r="E13" s="482"/>
      <c r="F13" s="482"/>
      <c r="G13" s="483"/>
      <c r="H13" s="177" t="s">
        <v>86</v>
      </c>
      <c r="I13" s="153">
        <v>2</v>
      </c>
      <c r="J13" s="151" t="s">
        <v>44</v>
      </c>
      <c r="K13" s="153">
        <v>6</v>
      </c>
      <c r="L13" s="192">
        <f>$J$10+$L$11+$I$11</f>
        <v>30</v>
      </c>
      <c r="M13" s="105"/>
    </row>
    <row r="14" spans="1:17" ht="7.5" customHeight="1">
      <c r="A14" s="109"/>
      <c r="B14" s="481"/>
      <c r="C14" s="482"/>
      <c r="D14" s="482"/>
      <c r="E14" s="482"/>
      <c r="F14" s="482"/>
      <c r="G14" s="483"/>
      <c r="H14" s="151" t="s">
        <v>50</v>
      </c>
      <c r="I14" s="32">
        <f>IF($I$7=基本!$F$4,基本!$L$11,IF($I$7=基本!$F$13,基本!$L$20,IF($I$7=基本!$F$22,基本!$L$29,IF($I$7=基本!$F$31,基本!$L$38,IF($I$7=基本!$F$40,基本!$L$47,0)))))</f>
        <v>4</v>
      </c>
      <c r="J14" s="177" t="s">
        <v>199</v>
      </c>
      <c r="K14" s="32">
        <f>IF($I$7=基本!$F$4,基本!$N$11,IF($I$7=基本!$F$13,基本!$N$20,IF($I$7=基本!$F$22,基本!$N$29,IF($I$7=基本!$F$31,基本!$N$38,IF($I$7=基本!$F$40,基本!$N$47,0)))))</f>
        <v>6</v>
      </c>
      <c r="L14" s="192">
        <f>$J$10+$L$11+$I$11+($I$13*$K$13)</f>
        <v>42</v>
      </c>
      <c r="M14" s="105"/>
    </row>
    <row r="15" spans="1:17" ht="18.75" customHeight="1">
      <c r="A15" s="80"/>
      <c r="B15" s="499" t="s">
        <v>517</v>
      </c>
      <c r="C15" s="500"/>
      <c r="D15" s="500"/>
      <c r="E15" s="500"/>
      <c r="F15" s="500"/>
      <c r="G15" s="501"/>
      <c r="H15" s="151" t="s">
        <v>60</v>
      </c>
      <c r="I15" s="221" t="s">
        <v>80</v>
      </c>
      <c r="J15" s="177" t="s">
        <v>195</v>
      </c>
      <c r="K15" s="179" t="s">
        <v>17</v>
      </c>
      <c r="L15" s="176">
        <f>IF(K15="",0,VLOOKUP(K15,基本!$A$5:'基本'!$C$10,3,FALSE))</f>
        <v>6</v>
      </c>
    </row>
    <row r="16" spans="1:17" ht="8.25" customHeight="1">
      <c r="A16" s="81"/>
      <c r="B16" s="469"/>
      <c r="C16" s="468"/>
      <c r="D16" s="468"/>
      <c r="E16" s="468"/>
      <c r="F16" s="468"/>
      <c r="G16" s="470"/>
      <c r="H16" s="143"/>
      <c r="I16" s="143"/>
      <c r="J16" s="143"/>
      <c r="K16" s="143"/>
    </row>
    <row r="17" spans="1:11" ht="14.25" thickBot="1">
      <c r="A17" s="136" t="s">
        <v>47</v>
      </c>
      <c r="E17" s="92"/>
      <c r="H17" s="143"/>
      <c r="I17" s="143"/>
      <c r="J17" s="143"/>
      <c r="K17" s="143"/>
    </row>
    <row r="18" spans="1:11" s="173" customFormat="1" ht="13.5" customHeight="1">
      <c r="A18" s="525" t="str">
        <f>$B$2</f>
        <v>ヴェズヴズ・エラプション</v>
      </c>
      <c r="B18" s="526"/>
      <c r="C18" s="527"/>
      <c r="D18" s="497" t="s">
        <v>2</v>
      </c>
      <c r="E18" s="498"/>
      <c r="F18" s="484" t="s">
        <v>272</v>
      </c>
      <c r="G18" s="485"/>
    </row>
    <row r="19" spans="1:11" s="173" customFormat="1" ht="15" customHeight="1" thickBot="1">
      <c r="A19" s="528"/>
      <c r="B19" s="529"/>
      <c r="C19" s="530"/>
      <c r="D19" s="160" t="s">
        <v>2</v>
      </c>
      <c r="E19" s="215" t="s">
        <v>1</v>
      </c>
      <c r="F19" s="160" t="s">
        <v>2</v>
      </c>
      <c r="G19" s="214" t="s">
        <v>1</v>
      </c>
    </row>
    <row r="20" spans="1:11" s="173" customFormat="1" ht="21" customHeight="1">
      <c r="A20" s="450" t="s">
        <v>42</v>
      </c>
      <c r="B20" s="225" t="s">
        <v>113</v>
      </c>
      <c r="C20" s="488" t="str">
        <f>$K$8</f>
        <v>反応</v>
      </c>
      <c r="D20" s="222" t="str">
        <f>$L$8 &amp; "+1d20"</f>
        <v>20+1d20</v>
      </c>
      <c r="E20" s="223" t="str">
        <f>$L$8+2 &amp; "+1d20"</f>
        <v>22+1d20</v>
      </c>
      <c r="F20" s="222" t="str">
        <f>$L$8 &amp; "+1d20"</f>
        <v>20+1d20</v>
      </c>
      <c r="G20" s="224" t="str">
        <f>$L$8+2 &amp; "+1d20"</f>
        <v>22+1d20</v>
      </c>
    </row>
    <row r="21" spans="1:11" s="173" customFormat="1" ht="21" customHeight="1">
      <c r="A21" s="451"/>
      <c r="B21" s="319" t="s">
        <v>427</v>
      </c>
      <c r="C21" s="489"/>
      <c r="D21" s="313" t="str">
        <f>$L$8 -5&amp; "+1d20"</f>
        <v>15+1d20</v>
      </c>
      <c r="E21" s="314" t="str">
        <f>$L$8+2 -5&amp; "+1d20"</f>
        <v>17+1d20</v>
      </c>
      <c r="F21" s="313" t="str">
        <f>$L$8 -5&amp; "+1d20"</f>
        <v>15+1d20</v>
      </c>
      <c r="G21" s="315" t="str">
        <f>$L$8+2 -5&amp; "+1d20"</f>
        <v>17+1d20</v>
      </c>
    </row>
    <row r="22" spans="1:11" s="173" customFormat="1" ht="21" customHeight="1">
      <c r="A22" s="451"/>
      <c r="B22" s="321" t="s">
        <v>429</v>
      </c>
      <c r="C22" s="489"/>
      <c r="D22" s="316" t="str">
        <f>3+$L$8 &amp; "+1d20"</f>
        <v>23+1d20</v>
      </c>
      <c r="E22" s="317" t="str">
        <f>3+$L$8+2 &amp; "+1d20"</f>
        <v>25+1d20</v>
      </c>
      <c r="F22" s="316" t="str">
        <f>3+$L$8 &amp; "+1d20"</f>
        <v>23+1d20</v>
      </c>
      <c r="G22" s="318" t="str">
        <f>3+$L$8+2 &amp; "+1d20"</f>
        <v>25+1d20</v>
      </c>
    </row>
    <row r="23" spans="1:11" s="173" customFormat="1" ht="21" customHeight="1" thickBot="1">
      <c r="A23" s="452"/>
      <c r="B23" s="320" t="s">
        <v>428</v>
      </c>
      <c r="C23" s="490"/>
      <c r="D23" s="226" t="str">
        <f>3+$L$8 -5&amp; "+1d20"</f>
        <v>18+1d20</v>
      </c>
      <c r="E23" s="227" t="str">
        <f>3+$L$8+2 -5&amp; "+1d20"</f>
        <v>20+1d20</v>
      </c>
      <c r="F23" s="226" t="str">
        <f>3+$L$8 -5&amp; "+1d20"</f>
        <v>18+1d20</v>
      </c>
      <c r="G23" s="228" t="str">
        <f>3+$L$8+2 -5&amp; "+1d20"</f>
        <v>20+1d20</v>
      </c>
    </row>
    <row r="24" spans="1:11" s="173" customFormat="1" ht="23.25" customHeight="1">
      <c r="A24" s="442" t="s">
        <v>513</v>
      </c>
      <c r="B24" s="107" t="s">
        <v>4</v>
      </c>
      <c r="C24" s="110" t="str">
        <f>IF($I$15 = 0,"", $I$15)</f>
        <v>雷鳴</v>
      </c>
      <c r="D24" s="111" t="str">
        <f>$L$13 &amp; "+" &amp; $I$13 &amp; "d" &amp; $K$13</f>
        <v>30+2d6</v>
      </c>
      <c r="E24" s="216" t="str">
        <f>$L$13 &amp; "+" &amp; $I$13 &amp; "d" &amp; $K$13</f>
        <v>30+2d6</v>
      </c>
      <c r="F24" s="111" t="str">
        <f>$L$13 &amp; "+" &amp; $I$13 &amp; "d" &amp; $K$13&amp;"+1d6"</f>
        <v>30+2d6+1d6</v>
      </c>
      <c r="G24" s="158" t="str">
        <f>$L$13 &amp; "+" &amp; $I$13 &amp; "d" &amp; $K$13&amp;"+1d6"</f>
        <v>30+2d6+1d6</v>
      </c>
    </row>
    <row r="25" spans="1:11" s="173" customFormat="1" ht="23.25" customHeight="1" thickBot="1">
      <c r="A25" s="443"/>
      <c r="B25" s="104" t="s">
        <v>3</v>
      </c>
      <c r="C25" s="354" t="s">
        <v>604</v>
      </c>
      <c r="D25" s="106" t="str">
        <f>$L$14 &amp; IF($I$14 = 0,"","+" &amp; $I$14 &amp; "d" &amp; $K$14)</f>
        <v>42+4d6</v>
      </c>
      <c r="E25" s="217" t="str">
        <f>$L$14 &amp; IF($I$14 = 0,"","+" &amp; $I$14 &amp; "d" &amp; $K$14)</f>
        <v>42+4d6</v>
      </c>
      <c r="F25" s="106" t="str">
        <f>6+$L$14 &amp; IF($I$14 = 0,"","+" &amp; $I$14 &amp; "d" &amp; $K$14)</f>
        <v>48+4d6</v>
      </c>
      <c r="G25" s="103" t="str">
        <f>6+$L$14 &amp; IF($I$14 = 0,"","+" &amp; $I$14 &amp; "d" &amp; $K$14)</f>
        <v>48+4d6</v>
      </c>
    </row>
    <row r="26" spans="1:11" s="201" customFormat="1" ht="7.5" customHeight="1">
      <c r="A26" s="480"/>
      <c r="B26" s="480"/>
      <c r="C26" s="480"/>
      <c r="D26" s="480"/>
      <c r="E26" s="480"/>
      <c r="F26" s="480"/>
      <c r="G26" s="480"/>
      <c r="H26" s="200"/>
    </row>
    <row r="27" spans="1:11" s="173" customFormat="1" ht="14.25">
      <c r="A27" s="362" t="s">
        <v>515</v>
      </c>
      <c r="B27" s="362"/>
      <c r="C27" s="362"/>
      <c r="D27" s="362"/>
      <c r="E27" s="362"/>
      <c r="F27" s="362"/>
      <c r="G27" s="362"/>
      <c r="H27" s="91"/>
    </row>
    <row r="28" spans="1:11" s="173" customFormat="1" ht="14.25">
      <c r="A28" s="362" t="s">
        <v>299</v>
      </c>
      <c r="B28" s="362"/>
      <c r="C28" s="362"/>
      <c r="D28" s="362"/>
      <c r="E28" s="362"/>
      <c r="F28" s="362"/>
      <c r="G28" s="362"/>
      <c r="H28" s="91"/>
    </row>
    <row r="29" spans="1:11" s="205" customFormat="1" ht="14.25">
      <c r="A29" s="362" t="s">
        <v>298</v>
      </c>
      <c r="B29" s="362"/>
      <c r="C29" s="362"/>
      <c r="D29" s="362"/>
      <c r="E29" s="362"/>
      <c r="F29" s="362"/>
      <c r="G29" s="362"/>
      <c r="H29" s="204"/>
      <c r="I29" s="204"/>
      <c r="J29" s="204"/>
      <c r="K29" s="204"/>
    </row>
    <row r="30" spans="1:11" s="173" customFormat="1" ht="14.25">
      <c r="A30" s="362" t="s">
        <v>590</v>
      </c>
      <c r="B30" s="362"/>
      <c r="C30" s="362"/>
      <c r="D30" s="362"/>
      <c r="E30" s="362"/>
      <c r="F30" s="362"/>
      <c r="G30" s="362"/>
      <c r="H30" s="91"/>
    </row>
    <row r="31" spans="1:11" s="203" customFormat="1" ht="14.25">
      <c r="A31" s="362" t="s">
        <v>263</v>
      </c>
      <c r="B31" s="362"/>
      <c r="C31" s="362"/>
      <c r="D31" s="362"/>
      <c r="E31" s="362"/>
      <c r="F31" s="362"/>
      <c r="G31" s="362"/>
      <c r="H31" s="202"/>
    </row>
    <row r="32" spans="1:11" s="205" customFormat="1" ht="14.25">
      <c r="A32" s="362" t="s">
        <v>220</v>
      </c>
      <c r="B32" s="362"/>
      <c r="C32" s="362"/>
      <c r="D32" s="362"/>
      <c r="E32" s="362"/>
      <c r="F32" s="362"/>
      <c r="G32" s="362"/>
      <c r="H32" s="204"/>
    </row>
    <row r="33" spans="1:12" s="173" customFormat="1" ht="14.25">
      <c r="A33" s="362" t="s">
        <v>443</v>
      </c>
      <c r="B33" s="362"/>
      <c r="C33" s="362"/>
      <c r="D33" s="362"/>
      <c r="E33" s="362"/>
      <c r="F33" s="362"/>
      <c r="G33" s="362"/>
      <c r="H33" s="91"/>
    </row>
    <row r="34" spans="1:12" s="173" customFormat="1" ht="14.25">
      <c r="A34" s="362" t="s">
        <v>366</v>
      </c>
      <c r="B34" s="362"/>
      <c r="C34" s="362"/>
      <c r="D34" s="362"/>
      <c r="E34" s="362"/>
      <c r="F34" s="362"/>
      <c r="G34" s="362"/>
      <c r="H34" s="91"/>
      <c r="I34" s="91"/>
    </row>
    <row r="35" spans="1:12" s="173" customFormat="1" ht="14.25">
      <c r="A35" s="362" t="s">
        <v>215</v>
      </c>
      <c r="B35" s="362"/>
      <c r="C35" s="362"/>
      <c r="D35" s="362"/>
      <c r="E35" s="362"/>
      <c r="F35" s="362"/>
      <c r="G35" s="362"/>
      <c r="H35" s="91"/>
      <c r="I35" s="91"/>
    </row>
    <row r="36" spans="1:12" s="173" customFormat="1">
      <c r="A36" s="377" t="s">
        <v>216</v>
      </c>
      <c r="B36" s="377"/>
      <c r="C36" s="377"/>
      <c r="D36" s="377"/>
      <c r="E36" s="377"/>
      <c r="F36" s="377"/>
      <c r="G36" s="377"/>
      <c r="H36" s="91"/>
      <c r="J36" s="91"/>
      <c r="K36" s="91"/>
    </row>
    <row r="37" spans="1:12" s="173" customFormat="1">
      <c r="A37" s="377" t="s">
        <v>217</v>
      </c>
      <c r="B37" s="377"/>
      <c r="C37" s="377"/>
      <c r="D37" s="377"/>
      <c r="E37" s="377"/>
      <c r="F37" s="377"/>
      <c r="G37" s="377"/>
      <c r="H37" s="91"/>
      <c r="I37" s="91"/>
      <c r="J37" s="91"/>
      <c r="K37" s="91"/>
    </row>
    <row r="38" spans="1:12" s="201" customFormat="1" ht="7.5" customHeight="1">
      <c r="A38" s="524"/>
      <c r="B38" s="524"/>
      <c r="C38" s="524"/>
      <c r="D38" s="524"/>
      <c r="E38" s="524"/>
      <c r="F38" s="524"/>
      <c r="G38" s="524"/>
      <c r="H38" s="200"/>
      <c r="I38" s="200"/>
      <c r="J38" s="200"/>
      <c r="K38" s="200"/>
    </row>
    <row r="39" spans="1:12" s="173" customFormat="1">
      <c r="A39" s="473" t="s">
        <v>49</v>
      </c>
      <c r="B39" s="474"/>
      <c r="C39" s="474"/>
      <c r="D39" s="474"/>
      <c r="E39" s="474"/>
      <c r="F39" s="474"/>
      <c r="G39" s="475"/>
      <c r="H39" s="91"/>
      <c r="I39" s="91"/>
      <c r="J39" s="91"/>
      <c r="K39" s="91"/>
    </row>
    <row r="40" spans="1:12" s="91" customFormat="1" ht="15.75" customHeight="1">
      <c r="A40" s="447" t="s">
        <v>318</v>
      </c>
      <c r="B40" s="448"/>
      <c r="C40" s="448"/>
      <c r="D40" s="448"/>
      <c r="E40" s="448"/>
      <c r="F40" s="448"/>
      <c r="G40" s="449"/>
      <c r="L40" s="173"/>
    </row>
    <row r="41" spans="1:12" s="91" customFormat="1" ht="7.5" customHeight="1">
      <c r="A41" s="508"/>
      <c r="B41" s="509"/>
      <c r="C41" s="509"/>
      <c r="D41" s="509"/>
      <c r="E41" s="509"/>
      <c r="F41" s="509"/>
      <c r="G41" s="510"/>
      <c r="L41" s="173"/>
    </row>
    <row r="42" spans="1:12" s="91" customFormat="1" ht="13.5" customHeight="1">
      <c r="A42" s="481" t="s">
        <v>549</v>
      </c>
      <c r="B42" s="482"/>
      <c r="C42" s="482"/>
      <c r="D42" s="482"/>
      <c r="E42" s="482"/>
      <c r="F42" s="482"/>
      <c r="G42" s="483"/>
      <c r="L42" s="173"/>
    </row>
    <row r="43" spans="1:12" s="91" customFormat="1" ht="13.5" customHeight="1">
      <c r="A43" s="464" t="s">
        <v>467</v>
      </c>
      <c r="B43" s="368"/>
      <c r="C43" s="368"/>
      <c r="D43" s="368"/>
      <c r="E43" s="368"/>
      <c r="F43" s="368"/>
      <c r="G43" s="465"/>
      <c r="L43" s="173"/>
    </row>
    <row r="44" spans="1:12" s="91" customFormat="1" ht="13.5" customHeight="1">
      <c r="A44" s="464" t="s">
        <v>319</v>
      </c>
      <c r="B44" s="368"/>
      <c r="C44" s="368"/>
      <c r="D44" s="368"/>
      <c r="E44" s="368"/>
      <c r="F44" s="368"/>
      <c r="G44" s="465"/>
      <c r="L44" s="173"/>
    </row>
    <row r="45" spans="1:12" s="91" customFormat="1" ht="13.5" customHeight="1">
      <c r="A45" s="464" t="s">
        <v>473</v>
      </c>
      <c r="B45" s="368"/>
      <c r="C45" s="368"/>
      <c r="D45" s="368"/>
      <c r="E45" s="368"/>
      <c r="F45" s="368"/>
      <c r="G45" s="465"/>
      <c r="L45" s="173"/>
    </row>
    <row r="46" spans="1:12" s="91" customFormat="1" ht="13.5" customHeight="1">
      <c r="A46" s="464"/>
      <c r="B46" s="368"/>
      <c r="C46" s="368"/>
      <c r="D46" s="368"/>
      <c r="E46" s="368"/>
      <c r="F46" s="368"/>
      <c r="G46" s="465"/>
      <c r="L46" s="173"/>
    </row>
    <row r="47" spans="1:12" s="91" customFormat="1" ht="13.5" customHeight="1">
      <c r="A47" s="508" t="s">
        <v>527</v>
      </c>
      <c r="B47" s="509"/>
      <c r="C47" s="509"/>
      <c r="D47" s="509"/>
      <c r="E47" s="509"/>
      <c r="F47" s="509"/>
      <c r="G47" s="510"/>
      <c r="L47" s="173"/>
    </row>
    <row r="48" spans="1:12" s="91" customFormat="1" ht="13.5" customHeight="1">
      <c r="A48" s="464" t="s">
        <v>528</v>
      </c>
      <c r="B48" s="368"/>
      <c r="C48" s="368"/>
      <c r="D48" s="368"/>
      <c r="E48" s="368"/>
      <c r="F48" s="368"/>
      <c r="G48" s="465"/>
      <c r="L48" s="173"/>
    </row>
    <row r="49" spans="1:12" s="91" customFormat="1" ht="13.5" customHeight="1">
      <c r="A49" s="464" t="s">
        <v>312</v>
      </c>
      <c r="B49" s="368"/>
      <c r="C49" s="368"/>
      <c r="D49" s="368"/>
      <c r="E49" s="368"/>
      <c r="F49" s="368"/>
      <c r="G49" s="465"/>
      <c r="L49" s="173"/>
    </row>
    <row r="50" spans="1:12" s="91" customFormat="1" ht="13.5" customHeight="1">
      <c r="A50" s="464" t="s">
        <v>313</v>
      </c>
      <c r="B50" s="368"/>
      <c r="C50" s="368"/>
      <c r="D50" s="368"/>
      <c r="E50" s="368"/>
      <c r="F50" s="368"/>
      <c r="G50" s="465"/>
      <c r="L50" s="173"/>
    </row>
    <row r="51" spans="1:12" s="200" customFormat="1" ht="11.25" customHeight="1">
      <c r="A51" s="542"/>
      <c r="B51" s="543"/>
      <c r="C51" s="543"/>
      <c r="D51" s="543"/>
      <c r="E51" s="543"/>
      <c r="F51" s="543"/>
      <c r="G51" s="544"/>
      <c r="L51" s="201"/>
    </row>
    <row r="52" spans="1:12" s="91" customFormat="1" ht="21">
      <c r="A52" s="540" t="s">
        <v>458</v>
      </c>
      <c r="B52" s="541"/>
      <c r="C52" s="36" t="s">
        <v>40</v>
      </c>
      <c r="D52" s="37" t="str">
        <f>$E$1</f>
        <v>遭遇毎</v>
      </c>
      <c r="E52" s="537" t="str">
        <f>$B$2</f>
        <v>ヴェズヴズ・エラプション</v>
      </c>
      <c r="F52" s="538"/>
      <c r="G52" s="539"/>
      <c r="L52" s="143"/>
    </row>
  </sheetData>
  <mergeCells count="53">
    <mergeCell ref="A20:A23"/>
    <mergeCell ref="C20:C23"/>
    <mergeCell ref="A32:G32"/>
    <mergeCell ref="A24:A25"/>
    <mergeCell ref="A33:G33"/>
    <mergeCell ref="A27:G27"/>
    <mergeCell ref="A26:G26"/>
    <mergeCell ref="A31:G31"/>
    <mergeCell ref="A28:G28"/>
    <mergeCell ref="A29:G29"/>
    <mergeCell ref="A30:G30"/>
    <mergeCell ref="E52:G52"/>
    <mergeCell ref="A41:G41"/>
    <mergeCell ref="A42:G42"/>
    <mergeCell ref="A43:G43"/>
    <mergeCell ref="A45:G45"/>
    <mergeCell ref="A52:B52"/>
    <mergeCell ref="A44:G44"/>
    <mergeCell ref="A51:G51"/>
    <mergeCell ref="A49:G49"/>
    <mergeCell ref="A50:G50"/>
    <mergeCell ref="A46:G46"/>
    <mergeCell ref="A47:G47"/>
    <mergeCell ref="A48:G48"/>
    <mergeCell ref="F1:G1"/>
    <mergeCell ref="B2:G2"/>
    <mergeCell ref="B4:G4"/>
    <mergeCell ref="B5:G5"/>
    <mergeCell ref="B6:D6"/>
    <mergeCell ref="A1:C1"/>
    <mergeCell ref="H4:L4"/>
    <mergeCell ref="J11:K11"/>
    <mergeCell ref="A18:C19"/>
    <mergeCell ref="D18:E18"/>
    <mergeCell ref="F18:G18"/>
    <mergeCell ref="B12:G12"/>
    <mergeCell ref="B13:G13"/>
    <mergeCell ref="B14:G14"/>
    <mergeCell ref="B15:G15"/>
    <mergeCell ref="J9:K9"/>
    <mergeCell ref="B11:G11"/>
    <mergeCell ref="B16:G16"/>
    <mergeCell ref="B7:D7"/>
    <mergeCell ref="B8:G8"/>
    <mergeCell ref="B9:G9"/>
    <mergeCell ref="B10:G10"/>
    <mergeCell ref="A40:G40"/>
    <mergeCell ref="A34:G34"/>
    <mergeCell ref="A35:G35"/>
    <mergeCell ref="A36:G36"/>
    <mergeCell ref="A37:G37"/>
    <mergeCell ref="A38:G38"/>
    <mergeCell ref="A39:G39"/>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Q53"/>
  <sheetViews>
    <sheetView zoomScaleNormal="100" workbookViewId="0">
      <selection activeCell="B2" sqref="B2:G2"/>
    </sheetView>
  </sheetViews>
  <sheetFormatPr defaultColWidth="9" defaultRowHeight="13.5"/>
  <cols>
    <col min="1" max="1" width="7.875" style="143" customWidth="1"/>
    <col min="2" max="2" width="8.5" style="143" customWidth="1"/>
    <col min="3" max="3" width="6.625" style="143" customWidth="1"/>
    <col min="4" max="4" width="15.75" style="14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43" customWidth="1"/>
    <col min="13" max="13" width="9.25" style="143" customWidth="1"/>
    <col min="14" max="14" width="12.375" style="143" customWidth="1"/>
    <col min="15" max="16384" width="9" style="143"/>
  </cols>
  <sheetData>
    <row r="1" spans="1:17" ht="21">
      <c r="A1" s="38" t="s">
        <v>114</v>
      </c>
      <c r="B1" s="545">
        <v>7</v>
      </c>
      <c r="C1" s="546"/>
      <c r="D1" s="39" t="s">
        <v>40</v>
      </c>
      <c r="E1" s="40" t="s">
        <v>111</v>
      </c>
      <c r="F1" s="531"/>
      <c r="G1" s="532"/>
      <c r="H1" s="96" t="s">
        <v>55</v>
      </c>
    </row>
    <row r="2" spans="1:17" ht="24.75" customHeight="1">
      <c r="A2" s="39" t="s">
        <v>0</v>
      </c>
      <c r="B2" s="533" t="s">
        <v>145</v>
      </c>
      <c r="C2" s="533"/>
      <c r="D2" s="533"/>
      <c r="E2" s="533"/>
      <c r="F2" s="533"/>
      <c r="G2" s="533"/>
      <c r="H2" s="96" t="s">
        <v>56</v>
      </c>
    </row>
    <row r="3" spans="1:17" ht="19.5" customHeight="1">
      <c r="A3" s="102" t="s">
        <v>48</v>
      </c>
      <c r="B3" s="91"/>
      <c r="C3" s="91"/>
      <c r="D3" s="91"/>
      <c r="I3" s="96"/>
    </row>
    <row r="4" spans="1:17">
      <c r="A4" s="76" t="s">
        <v>46</v>
      </c>
      <c r="B4" s="439" t="s">
        <v>146</v>
      </c>
      <c r="C4" s="440"/>
      <c r="D4" s="440"/>
      <c r="E4" s="440"/>
      <c r="F4" s="440"/>
      <c r="G4" s="441"/>
      <c r="H4" s="381" t="s">
        <v>201</v>
      </c>
      <c r="I4" s="382"/>
      <c r="J4" s="382"/>
      <c r="K4" s="382"/>
      <c r="L4" s="383"/>
    </row>
    <row r="5" spans="1:17">
      <c r="A5" s="77" t="s">
        <v>39</v>
      </c>
      <c r="B5" s="439" t="s">
        <v>147</v>
      </c>
      <c r="C5" s="440"/>
      <c r="D5" s="440"/>
      <c r="E5" s="440"/>
      <c r="F5" s="440"/>
      <c r="G5" s="441"/>
      <c r="H5" s="151" t="s">
        <v>43</v>
      </c>
      <c r="I5" s="153" t="s">
        <v>83</v>
      </c>
      <c r="J5" s="153">
        <v>10</v>
      </c>
    </row>
    <row r="6" spans="1:17">
      <c r="A6" s="77" t="s">
        <v>7</v>
      </c>
      <c r="B6" s="439" t="s">
        <v>5</v>
      </c>
      <c r="C6" s="440"/>
      <c r="D6" s="441"/>
      <c r="E6" s="151" t="s">
        <v>43</v>
      </c>
      <c r="F6" s="152" t="str">
        <f>$I$5</f>
        <v>遠隔範囲</v>
      </c>
      <c r="G6" s="152">
        <f>IF($J$5 = 0,"", $J$5)</f>
        <v>10</v>
      </c>
      <c r="H6" s="151" t="s">
        <v>66</v>
      </c>
      <c r="I6" s="153" t="s">
        <v>67</v>
      </c>
      <c r="J6" s="210" t="s">
        <v>271</v>
      </c>
    </row>
    <row r="7" spans="1:17">
      <c r="A7" s="78" t="s">
        <v>6</v>
      </c>
      <c r="B7" s="439" t="s">
        <v>144</v>
      </c>
      <c r="C7" s="440"/>
      <c r="D7" s="441"/>
      <c r="E7" s="151" t="s">
        <v>66</v>
      </c>
      <c r="F7" s="152" t="str">
        <f>IF($I$6 = 0,"", $I$6)</f>
        <v>爆発</v>
      </c>
      <c r="G7" s="159" t="str">
        <f>IF($J$6 = 0,"", $J$6)</f>
        <v>1 or 2</v>
      </c>
      <c r="H7" s="151" t="s">
        <v>85</v>
      </c>
      <c r="I7" s="310" t="s">
        <v>439</v>
      </c>
      <c r="J7" s="96" t="s">
        <v>62</v>
      </c>
      <c r="L7" s="191" t="s">
        <v>193</v>
      </c>
    </row>
    <row r="8" spans="1:17">
      <c r="A8" s="78" t="s">
        <v>8</v>
      </c>
      <c r="B8" s="439" t="s">
        <v>178</v>
      </c>
      <c r="C8" s="440"/>
      <c r="D8" s="440"/>
      <c r="E8" s="440"/>
      <c r="F8" s="440"/>
      <c r="G8" s="441"/>
      <c r="H8" s="151" t="s">
        <v>51</v>
      </c>
      <c r="I8" s="153" t="s">
        <v>17</v>
      </c>
      <c r="J8" s="152">
        <f>IF($I$8 = "筋力",基本!$C$5,IF($I$8 = "耐久力",基本!$C$6,IF($I$8 = "敏捷力",基本!$C$7,IF($I$8 = "知力",基本!$C$8,IF($I$8 = "判断力",基本!$C$9,IF($I$8 = "魅力",基本!$C$10,""))))))</f>
        <v>6</v>
      </c>
      <c r="K8" s="153" t="s">
        <v>19</v>
      </c>
      <c r="L8" s="192">
        <f>$J$8+$L$9+$I$9</f>
        <v>20</v>
      </c>
    </row>
    <row r="9" spans="1:17" ht="14.25" customHeight="1">
      <c r="A9" s="80" t="s">
        <v>9</v>
      </c>
      <c r="B9" s="444" t="s">
        <v>223</v>
      </c>
      <c r="C9" s="445"/>
      <c r="D9" s="445"/>
      <c r="E9" s="445"/>
      <c r="F9" s="445"/>
      <c r="G9" s="446"/>
      <c r="H9" s="151" t="s">
        <v>58</v>
      </c>
      <c r="I9" s="153">
        <v>0</v>
      </c>
      <c r="J9" s="381" t="s">
        <v>53</v>
      </c>
      <c r="K9" s="383"/>
      <c r="L9" s="152">
        <f>IF($I$7=基本!$F$4,基本!$O$7,IF($I$7=基本!$F$13,基本!$O$16,IF($I$7=基本!$F$22,基本!$O$25,IF($I$7=基本!$F$31,基本!$O$34,IF($I$7=基本!$F$40,基本!$O$43,0)))))</f>
        <v>14</v>
      </c>
    </row>
    <row r="10" spans="1:17" ht="14.25" customHeight="1">
      <c r="A10" s="80"/>
      <c r="B10" s="481" t="s">
        <v>148</v>
      </c>
      <c r="C10" s="482"/>
      <c r="D10" s="482"/>
      <c r="E10" s="482"/>
      <c r="F10" s="482"/>
      <c r="G10" s="483"/>
      <c r="H10" s="150" t="s">
        <v>52</v>
      </c>
      <c r="I10" s="153" t="s">
        <v>17</v>
      </c>
      <c r="J10" s="100">
        <f>IF($I$10 = "筋力",基本!$C$5,IF($I$10 = "耐久力",基本!$C$6,IF($I$10 = "敏捷力",基本!$C$7,IF($I$10 = "知力",基本!$C$8,IF($I$10 = "判断力",基本!$C$9,IF($I$10 = "魅力",基本!$C$10,""))))))</f>
        <v>6</v>
      </c>
      <c r="L10" s="91"/>
    </row>
    <row r="11" spans="1:17" ht="14.25" customHeight="1">
      <c r="A11" s="80"/>
      <c r="B11" s="481" t="s">
        <v>149</v>
      </c>
      <c r="C11" s="482"/>
      <c r="D11" s="482"/>
      <c r="E11" s="482"/>
      <c r="F11" s="482"/>
      <c r="G11" s="483"/>
      <c r="H11" s="151" t="s">
        <v>59</v>
      </c>
      <c r="I11" s="153">
        <v>0</v>
      </c>
      <c r="J11" s="381" t="s">
        <v>54</v>
      </c>
      <c r="K11" s="383"/>
      <c r="L11" s="152">
        <f>IF($I$7=基本!$F$4,基本!$O$9,IF($I$7=基本!$F$13,基本!$O$18,IF($I$7=基本!$F$22,基本!$O$27,IF($I$7=基本!$F$31,基本!$O$36,IF($I$7=基本!$F$40,基本!$O$45,0)))))</f>
        <v>24</v>
      </c>
    </row>
    <row r="12" spans="1:17" ht="4.5" customHeight="1">
      <c r="A12" s="80"/>
      <c r="B12" s="481"/>
      <c r="C12" s="482"/>
      <c r="D12" s="482"/>
      <c r="E12" s="482"/>
      <c r="F12" s="482"/>
      <c r="G12" s="483"/>
      <c r="L12" s="191" t="s">
        <v>193</v>
      </c>
      <c r="M12" s="173"/>
      <c r="N12" s="173"/>
      <c r="O12" s="173"/>
      <c r="P12" s="173"/>
      <c r="Q12" s="173"/>
    </row>
    <row r="13" spans="1:17" ht="7.5" customHeight="1">
      <c r="A13" s="80"/>
      <c r="B13" s="466"/>
      <c r="C13" s="359"/>
      <c r="D13" s="359"/>
      <c r="E13" s="359"/>
      <c r="F13" s="359"/>
      <c r="G13" s="467"/>
      <c r="H13" s="177" t="s">
        <v>86</v>
      </c>
      <c r="I13" s="153">
        <v>2</v>
      </c>
      <c r="J13" s="151" t="s">
        <v>44</v>
      </c>
      <c r="K13" s="153">
        <v>8</v>
      </c>
      <c r="L13" s="192">
        <f>$J$10+$L$11+$I$11</f>
        <v>30</v>
      </c>
      <c r="M13" s="105"/>
    </row>
    <row r="14" spans="1:17" ht="18.75" customHeight="1">
      <c r="A14" s="109"/>
      <c r="B14" s="499" t="s">
        <v>517</v>
      </c>
      <c r="C14" s="500"/>
      <c r="D14" s="500"/>
      <c r="E14" s="500"/>
      <c r="F14" s="500"/>
      <c r="G14" s="501"/>
      <c r="H14" s="151" t="s">
        <v>50</v>
      </c>
      <c r="I14" s="32">
        <f>IF($I$7=基本!$F$4,基本!$L$11,IF($I$7=基本!$F$13,基本!$L$20,IF($I$7=基本!$F$22,基本!$L$29,IF($I$7=基本!$F$31,基本!$L$38,IF($I$7=基本!$F$40,基本!$L$47,0)))))</f>
        <v>4</v>
      </c>
      <c r="J14" s="177" t="s">
        <v>198</v>
      </c>
      <c r="K14" s="32">
        <f>IF($I$7=基本!$F$4,基本!$N$11,IF($I$7=基本!$F$13,基本!$N$20,IF($I$7=基本!$F$22,基本!$N$29,IF($I$7=基本!$F$31,基本!$N$38,IF($I$7=基本!$F$40,基本!$N$47,0)))))</f>
        <v>6</v>
      </c>
      <c r="L14" s="192">
        <f>$J$10+$L$11+$I$11+($I$13*$K$13)</f>
        <v>46</v>
      </c>
      <c r="M14" s="105"/>
    </row>
    <row r="15" spans="1:17" ht="7.5" customHeight="1">
      <c r="A15" s="80"/>
      <c r="B15" s="481"/>
      <c r="C15" s="482"/>
      <c r="D15" s="482"/>
      <c r="E15" s="482"/>
      <c r="F15" s="482"/>
      <c r="G15" s="483"/>
      <c r="H15" s="151" t="s">
        <v>60</v>
      </c>
      <c r="I15" s="153" t="s">
        <v>80</v>
      </c>
      <c r="J15" s="177" t="s">
        <v>195</v>
      </c>
      <c r="K15" s="179" t="s">
        <v>17</v>
      </c>
      <c r="L15" s="176">
        <f>IF(K15="",0,VLOOKUP(K15,基本!$A$5:'基本'!$C$10,3,FALSE))</f>
        <v>6</v>
      </c>
    </row>
    <row r="16" spans="1:17" ht="9" customHeight="1">
      <c r="A16" s="81"/>
      <c r="B16" s="469"/>
      <c r="C16" s="468"/>
      <c r="D16" s="468"/>
      <c r="E16" s="468"/>
      <c r="F16" s="468"/>
      <c r="G16" s="470"/>
      <c r="H16" s="143"/>
      <c r="I16" s="143"/>
      <c r="J16" s="143"/>
      <c r="K16" s="143"/>
    </row>
    <row r="17" spans="1:11" ht="14.25" thickBot="1">
      <c r="A17" s="136" t="s">
        <v>47</v>
      </c>
      <c r="E17" s="92"/>
      <c r="H17" s="143"/>
      <c r="I17" s="143"/>
      <c r="J17" s="143"/>
      <c r="K17" s="143"/>
    </row>
    <row r="18" spans="1:11" s="173" customFormat="1" ht="13.5" customHeight="1">
      <c r="A18" s="525" t="str">
        <f>$B$2</f>
        <v>サンダー・ボム</v>
      </c>
      <c r="B18" s="526"/>
      <c r="C18" s="527"/>
      <c r="D18" s="497" t="s">
        <v>2</v>
      </c>
      <c r="E18" s="498"/>
      <c r="F18" s="484" t="s">
        <v>272</v>
      </c>
      <c r="G18" s="485"/>
    </row>
    <row r="19" spans="1:11" s="173" customFormat="1" ht="15" customHeight="1" thickBot="1">
      <c r="A19" s="528"/>
      <c r="B19" s="529"/>
      <c r="C19" s="530"/>
      <c r="D19" s="160" t="s">
        <v>2</v>
      </c>
      <c r="E19" s="215" t="s">
        <v>1</v>
      </c>
      <c r="F19" s="160" t="s">
        <v>2</v>
      </c>
      <c r="G19" s="214" t="s">
        <v>1</v>
      </c>
    </row>
    <row r="20" spans="1:11" s="173" customFormat="1" ht="21" customHeight="1">
      <c r="A20" s="450" t="s">
        <v>42</v>
      </c>
      <c r="B20" s="225" t="s">
        <v>113</v>
      </c>
      <c r="C20" s="488" t="str">
        <f>$K$8</f>
        <v>頑健</v>
      </c>
      <c r="D20" s="222" t="str">
        <f>$L$8 &amp; "+1d20"</f>
        <v>20+1d20</v>
      </c>
      <c r="E20" s="223" t="str">
        <f>$L$8+2 &amp; "+1d20"</f>
        <v>22+1d20</v>
      </c>
      <c r="F20" s="222" t="str">
        <f>$L$8 &amp; "+1d20"</f>
        <v>20+1d20</v>
      </c>
      <c r="G20" s="224" t="str">
        <f>$L$8+2 &amp; "+1d20"</f>
        <v>22+1d20</v>
      </c>
    </row>
    <row r="21" spans="1:11" s="173" customFormat="1" ht="21" customHeight="1">
      <c r="A21" s="451"/>
      <c r="B21" s="319" t="s">
        <v>427</v>
      </c>
      <c r="C21" s="489"/>
      <c r="D21" s="313" t="str">
        <f>$L$8 -5&amp; "+1d20"</f>
        <v>15+1d20</v>
      </c>
      <c r="E21" s="314" t="str">
        <f>$L$8+2 -5&amp; "+1d20"</f>
        <v>17+1d20</v>
      </c>
      <c r="F21" s="313" t="str">
        <f>$L$8 -5&amp; "+1d20"</f>
        <v>15+1d20</v>
      </c>
      <c r="G21" s="315" t="str">
        <f>$L$8+2 -5&amp; "+1d20"</f>
        <v>17+1d20</v>
      </c>
    </row>
    <row r="22" spans="1:11" s="173" customFormat="1" ht="21" customHeight="1">
      <c r="A22" s="451"/>
      <c r="B22" s="321" t="s">
        <v>365</v>
      </c>
      <c r="C22" s="489"/>
      <c r="D22" s="316" t="str">
        <f>3+$L$8 &amp; "+1d20"</f>
        <v>23+1d20</v>
      </c>
      <c r="E22" s="317" t="str">
        <f>3+$L$8+2 &amp; "+1d20"</f>
        <v>25+1d20</v>
      </c>
      <c r="F22" s="316" t="str">
        <f>3+$L$8 &amp; "+1d20"</f>
        <v>23+1d20</v>
      </c>
      <c r="G22" s="318" t="str">
        <f>3+$L$8+2 &amp; "+1d20"</f>
        <v>25+1d20</v>
      </c>
    </row>
    <row r="23" spans="1:11" s="173" customFormat="1" ht="21" customHeight="1" thickBot="1">
      <c r="A23" s="452"/>
      <c r="B23" s="320" t="s">
        <v>428</v>
      </c>
      <c r="C23" s="490"/>
      <c r="D23" s="226" t="str">
        <f>3+$L$8 -5&amp; "+1d20"</f>
        <v>18+1d20</v>
      </c>
      <c r="E23" s="227" t="str">
        <f>3+$L$8+2 -5&amp; "+1d20"</f>
        <v>20+1d20</v>
      </c>
      <c r="F23" s="226" t="str">
        <f>3+$L$8 -5&amp; "+1d20"</f>
        <v>18+1d20</v>
      </c>
      <c r="G23" s="228" t="str">
        <f>3+$L$8+2 -5&amp; "+1d20"</f>
        <v>20+1d20</v>
      </c>
    </row>
    <row r="24" spans="1:11" s="173" customFormat="1" ht="23.25" customHeight="1">
      <c r="A24" s="442" t="s">
        <v>513</v>
      </c>
      <c r="B24" s="107" t="s">
        <v>4</v>
      </c>
      <c r="C24" s="110" t="str">
        <f>IF($I$15 = 0,"", $I$15)</f>
        <v>雷鳴</v>
      </c>
      <c r="D24" s="111" t="str">
        <f>$L$13 &amp; "+" &amp; $I$13 &amp; "d" &amp; $K$13</f>
        <v>30+2d8</v>
      </c>
      <c r="E24" s="216" t="str">
        <f>$L$13 &amp; "+" &amp; $I$13 &amp; "d" &amp; $K$13</f>
        <v>30+2d8</v>
      </c>
      <c r="F24" s="111" t="str">
        <f>$L$13 &amp; "+" &amp; $I$13 &amp; "d" &amp; $K$13&amp;"+1d6"</f>
        <v>30+2d8+1d6</v>
      </c>
      <c r="G24" s="158" t="str">
        <f>$L$13 &amp; "+" &amp; $I$13 &amp; "d" &amp; $K$13&amp;"+1d6"</f>
        <v>30+2d8+1d6</v>
      </c>
    </row>
    <row r="25" spans="1:11" s="173" customFormat="1" ht="23.25" customHeight="1" thickBot="1">
      <c r="A25" s="443"/>
      <c r="B25" s="104" t="s">
        <v>3</v>
      </c>
      <c r="C25" s="354" t="s">
        <v>604</v>
      </c>
      <c r="D25" s="106" t="str">
        <f>$L$14 &amp; IF($I$14 = 0,"","+" &amp; $I$14 &amp; "d" &amp; $K$14)</f>
        <v>46+4d6</v>
      </c>
      <c r="E25" s="217" t="str">
        <f>$L$14 &amp; IF($I$14 = 0,"","+" &amp; $I$14 &amp; "d" &amp; $K$14)</f>
        <v>46+4d6</v>
      </c>
      <c r="F25" s="106" t="str">
        <f>6+$L$14 &amp; IF($I$14 = 0,"","+" &amp; $I$14 &amp; "d" &amp; $K$14)</f>
        <v>52+4d6</v>
      </c>
      <c r="G25" s="103" t="str">
        <f>6+$L$14 &amp; IF($I$14 = 0,"","+" &amp; $I$14 &amp; "d" &amp; $K$14)</f>
        <v>52+4d6</v>
      </c>
    </row>
    <row r="26" spans="1:11" s="201" customFormat="1" ht="7.5" customHeight="1">
      <c r="A26" s="480"/>
      <c r="B26" s="480"/>
      <c r="C26" s="480"/>
      <c r="D26" s="480"/>
      <c r="E26" s="480"/>
      <c r="F26" s="480"/>
      <c r="G26" s="480"/>
      <c r="H26" s="200"/>
    </row>
    <row r="27" spans="1:11" s="173" customFormat="1" ht="14.25">
      <c r="A27" s="362" t="s">
        <v>515</v>
      </c>
      <c r="B27" s="362"/>
      <c r="C27" s="362"/>
      <c r="D27" s="362"/>
      <c r="E27" s="362"/>
      <c r="F27" s="362"/>
      <c r="G27" s="362"/>
      <c r="H27" s="91"/>
    </row>
    <row r="28" spans="1:11" s="173" customFormat="1" ht="14.25">
      <c r="A28" s="362" t="s">
        <v>299</v>
      </c>
      <c r="B28" s="362"/>
      <c r="C28" s="362"/>
      <c r="D28" s="362"/>
      <c r="E28" s="362"/>
      <c r="F28" s="362"/>
      <c r="G28" s="362"/>
      <c r="H28" s="91"/>
    </row>
    <row r="29" spans="1:11" s="205" customFormat="1" ht="14.25">
      <c r="A29" s="362" t="s">
        <v>298</v>
      </c>
      <c r="B29" s="362"/>
      <c r="C29" s="362"/>
      <c r="D29" s="362"/>
      <c r="E29" s="362"/>
      <c r="F29" s="362"/>
      <c r="G29" s="362"/>
      <c r="H29" s="204"/>
      <c r="I29" s="204"/>
      <c r="J29" s="204"/>
      <c r="K29" s="204"/>
    </row>
    <row r="30" spans="1:11" s="173" customFormat="1" ht="14.25">
      <c r="A30" s="362" t="s">
        <v>590</v>
      </c>
      <c r="B30" s="362"/>
      <c r="C30" s="362"/>
      <c r="D30" s="362"/>
      <c r="E30" s="362"/>
      <c r="F30" s="362"/>
      <c r="G30" s="362"/>
      <c r="H30" s="91"/>
    </row>
    <row r="31" spans="1:11" s="203" customFormat="1" ht="14.25">
      <c r="A31" s="362" t="s">
        <v>263</v>
      </c>
      <c r="B31" s="362"/>
      <c r="C31" s="362"/>
      <c r="D31" s="362"/>
      <c r="E31" s="362"/>
      <c r="F31" s="362"/>
      <c r="G31" s="362"/>
      <c r="H31" s="202"/>
    </row>
    <row r="32" spans="1:11" s="205" customFormat="1" ht="14.25">
      <c r="A32" s="362" t="s">
        <v>220</v>
      </c>
      <c r="B32" s="362"/>
      <c r="C32" s="362"/>
      <c r="D32" s="362"/>
      <c r="E32" s="362"/>
      <c r="F32" s="362"/>
      <c r="G32" s="362"/>
      <c r="H32" s="204"/>
    </row>
    <row r="33" spans="1:12" s="173" customFormat="1" ht="14.25">
      <c r="A33" s="362" t="s">
        <v>440</v>
      </c>
      <c r="B33" s="362"/>
      <c r="C33" s="362"/>
      <c r="D33" s="362"/>
      <c r="E33" s="362"/>
      <c r="F33" s="362"/>
      <c r="G33" s="362"/>
      <c r="H33" s="91"/>
    </row>
    <row r="34" spans="1:12" s="173" customFormat="1" ht="14.25">
      <c r="A34" s="362" t="s">
        <v>366</v>
      </c>
      <c r="B34" s="362"/>
      <c r="C34" s="362"/>
      <c r="D34" s="362"/>
      <c r="E34" s="362"/>
      <c r="F34" s="362"/>
      <c r="G34" s="362"/>
      <c r="H34" s="91"/>
      <c r="I34" s="91"/>
    </row>
    <row r="35" spans="1:12" s="173" customFormat="1" ht="14.25">
      <c r="A35" s="362" t="s">
        <v>215</v>
      </c>
      <c r="B35" s="362"/>
      <c r="C35" s="362"/>
      <c r="D35" s="362"/>
      <c r="E35" s="362"/>
      <c r="F35" s="362"/>
      <c r="G35" s="362"/>
      <c r="H35" s="91"/>
      <c r="I35" s="91"/>
    </row>
    <row r="36" spans="1:12" s="201" customFormat="1" ht="6.75" customHeight="1">
      <c r="A36" s="524"/>
      <c r="B36" s="524"/>
      <c r="C36" s="524"/>
      <c r="D36" s="524"/>
      <c r="E36" s="524"/>
      <c r="F36" s="524"/>
      <c r="G36" s="524"/>
      <c r="H36" s="200"/>
      <c r="I36" s="200"/>
      <c r="J36" s="200"/>
      <c r="K36" s="200"/>
    </row>
    <row r="37" spans="1:12" s="173" customFormat="1">
      <c r="A37" s="473" t="s">
        <v>49</v>
      </c>
      <c r="B37" s="474"/>
      <c r="C37" s="474"/>
      <c r="D37" s="474"/>
      <c r="E37" s="474"/>
      <c r="F37" s="474"/>
      <c r="G37" s="475"/>
      <c r="H37" s="91"/>
      <c r="I37" s="91"/>
      <c r="J37" s="91"/>
      <c r="K37" s="91"/>
    </row>
    <row r="38" spans="1:12" s="91" customFormat="1" ht="15.75" customHeight="1">
      <c r="A38" s="447" t="s">
        <v>318</v>
      </c>
      <c r="B38" s="448"/>
      <c r="C38" s="448"/>
      <c r="D38" s="448"/>
      <c r="E38" s="448"/>
      <c r="F38" s="448"/>
      <c r="G38" s="449"/>
      <c r="L38" s="173"/>
    </row>
    <row r="39" spans="1:12" s="91" customFormat="1" ht="12" customHeight="1">
      <c r="A39" s="508"/>
      <c r="B39" s="509"/>
      <c r="C39" s="509"/>
      <c r="D39" s="509"/>
      <c r="E39" s="509"/>
      <c r="F39" s="509"/>
      <c r="G39" s="510"/>
      <c r="L39" s="173"/>
    </row>
    <row r="40" spans="1:12" s="91" customFormat="1" ht="13.5" customHeight="1">
      <c r="A40" s="481" t="s">
        <v>549</v>
      </c>
      <c r="B40" s="482"/>
      <c r="C40" s="482"/>
      <c r="D40" s="482"/>
      <c r="E40" s="482"/>
      <c r="F40" s="482"/>
      <c r="G40" s="483"/>
      <c r="L40" s="173"/>
    </row>
    <row r="41" spans="1:12" s="91" customFormat="1" ht="13.5" customHeight="1">
      <c r="A41" s="464" t="s">
        <v>518</v>
      </c>
      <c r="B41" s="368"/>
      <c r="C41" s="368"/>
      <c r="D41" s="368"/>
      <c r="E41" s="368"/>
      <c r="F41" s="368"/>
      <c r="G41" s="465"/>
      <c r="L41" s="173"/>
    </row>
    <row r="42" spans="1:12" s="91" customFormat="1" ht="13.5" customHeight="1">
      <c r="A42" s="464" t="s">
        <v>519</v>
      </c>
      <c r="B42" s="368"/>
      <c r="C42" s="368"/>
      <c r="D42" s="368"/>
      <c r="E42" s="368"/>
      <c r="F42" s="368"/>
      <c r="G42" s="465"/>
      <c r="L42" s="173"/>
    </row>
    <row r="43" spans="1:12" s="91" customFormat="1" ht="13.5" customHeight="1">
      <c r="A43" s="464" t="s">
        <v>520</v>
      </c>
      <c r="B43" s="368"/>
      <c r="C43" s="368"/>
      <c r="D43" s="368"/>
      <c r="E43" s="368"/>
      <c r="F43" s="368"/>
      <c r="G43" s="465"/>
      <c r="L43" s="173"/>
    </row>
    <row r="44" spans="1:12" s="91" customFormat="1" ht="13.5" customHeight="1">
      <c r="A44" s="464"/>
      <c r="B44" s="368"/>
      <c r="C44" s="368"/>
      <c r="D44" s="368"/>
      <c r="E44" s="368"/>
      <c r="F44" s="368"/>
      <c r="G44" s="465"/>
      <c r="L44" s="173"/>
    </row>
    <row r="45" spans="1:12" s="91" customFormat="1" ht="13.5" customHeight="1">
      <c r="A45" s="508" t="s">
        <v>183</v>
      </c>
      <c r="B45" s="509"/>
      <c r="C45" s="509"/>
      <c r="D45" s="509"/>
      <c r="E45" s="509"/>
      <c r="F45" s="509"/>
      <c r="G45" s="510"/>
      <c r="L45" s="173"/>
    </row>
    <row r="46" spans="1:12" s="91" customFormat="1" ht="9.75" customHeight="1">
      <c r="A46" s="508"/>
      <c r="B46" s="509"/>
      <c r="C46" s="509"/>
      <c r="D46" s="509"/>
      <c r="E46" s="509"/>
      <c r="F46" s="509"/>
      <c r="G46" s="510"/>
      <c r="L46" s="173"/>
    </row>
    <row r="47" spans="1:12" s="91" customFormat="1" ht="13.5" customHeight="1">
      <c r="A47" s="464" t="s">
        <v>521</v>
      </c>
      <c r="B47" s="368"/>
      <c r="C47" s="368"/>
      <c r="D47" s="368"/>
      <c r="E47" s="368"/>
      <c r="F47" s="368"/>
      <c r="G47" s="465"/>
      <c r="L47" s="173"/>
    </row>
    <row r="48" spans="1:12" s="91" customFormat="1" ht="13.5" customHeight="1">
      <c r="A48" s="464" t="s">
        <v>184</v>
      </c>
      <c r="B48" s="368"/>
      <c r="C48" s="368"/>
      <c r="D48" s="368"/>
      <c r="E48" s="368"/>
      <c r="F48" s="368"/>
      <c r="G48" s="465"/>
      <c r="L48" s="173"/>
    </row>
    <row r="49" spans="1:12" s="91" customFormat="1" ht="13.5" customHeight="1">
      <c r="A49" s="464" t="s">
        <v>312</v>
      </c>
      <c r="B49" s="368"/>
      <c r="C49" s="368"/>
      <c r="D49" s="368"/>
      <c r="E49" s="368"/>
      <c r="F49" s="368"/>
      <c r="G49" s="465"/>
      <c r="L49" s="173"/>
    </row>
    <row r="50" spans="1:12" s="91" customFormat="1" ht="13.5" customHeight="1">
      <c r="A50" s="464" t="s">
        <v>313</v>
      </c>
      <c r="B50" s="368"/>
      <c r="C50" s="368"/>
      <c r="D50" s="368"/>
      <c r="E50" s="368"/>
      <c r="F50" s="368"/>
      <c r="G50" s="465"/>
      <c r="L50" s="173"/>
    </row>
    <row r="51" spans="1:12" s="91" customFormat="1" ht="13.5" customHeight="1">
      <c r="A51" s="464" t="s">
        <v>185</v>
      </c>
      <c r="B51" s="368"/>
      <c r="C51" s="368"/>
      <c r="D51" s="368"/>
      <c r="E51" s="368"/>
      <c r="F51" s="368"/>
      <c r="G51" s="465"/>
      <c r="L51" s="173"/>
    </row>
    <row r="52" spans="1:12" s="91" customFormat="1" ht="7.5" customHeight="1">
      <c r="A52" s="464"/>
      <c r="B52" s="368"/>
      <c r="C52" s="368"/>
      <c r="D52" s="368"/>
      <c r="E52" s="368"/>
      <c r="F52" s="368"/>
      <c r="G52" s="465"/>
      <c r="L52" s="173"/>
    </row>
    <row r="53" spans="1:12" s="91" customFormat="1" ht="21">
      <c r="A53" s="35" t="s">
        <v>114</v>
      </c>
      <c r="B53" s="155">
        <f>$B$1</f>
        <v>7</v>
      </c>
      <c r="C53" s="36" t="s">
        <v>40</v>
      </c>
      <c r="D53" s="37" t="str">
        <f>$E$1</f>
        <v>遭遇毎</v>
      </c>
      <c r="E53" s="537" t="str">
        <f>$B$2</f>
        <v>サンダー・ボム</v>
      </c>
      <c r="F53" s="538"/>
      <c r="G53" s="539"/>
      <c r="L53" s="143"/>
    </row>
  </sheetData>
  <mergeCells count="53">
    <mergeCell ref="A49:G49"/>
    <mergeCell ref="A50:G50"/>
    <mergeCell ref="A51:G51"/>
    <mergeCell ref="A43:G43"/>
    <mergeCell ref="A44:G44"/>
    <mergeCell ref="A45:G45"/>
    <mergeCell ref="A46:G46"/>
    <mergeCell ref="A47:G47"/>
    <mergeCell ref="A39:G39"/>
    <mergeCell ref="A40:G40"/>
    <mergeCell ref="A41:G41"/>
    <mergeCell ref="A42:G42"/>
    <mergeCell ref="A48:G48"/>
    <mergeCell ref="A20:A23"/>
    <mergeCell ref="C20:C23"/>
    <mergeCell ref="A24:A25"/>
    <mergeCell ref="A26:G26"/>
    <mergeCell ref="A38:G38"/>
    <mergeCell ref="A29:G29"/>
    <mergeCell ref="A30:G30"/>
    <mergeCell ref="A31:G31"/>
    <mergeCell ref="A32:G32"/>
    <mergeCell ref="A27:G27"/>
    <mergeCell ref="E53:G53"/>
    <mergeCell ref="A36:G36"/>
    <mergeCell ref="B12:G12"/>
    <mergeCell ref="B13:G13"/>
    <mergeCell ref="B14:G14"/>
    <mergeCell ref="B15:G15"/>
    <mergeCell ref="A37:G37"/>
    <mergeCell ref="B16:G16"/>
    <mergeCell ref="A52:G52"/>
    <mergeCell ref="A18:C19"/>
    <mergeCell ref="D18:E18"/>
    <mergeCell ref="F18:G18"/>
    <mergeCell ref="A28:G28"/>
    <mergeCell ref="A33:G33"/>
    <mergeCell ref="A34:G34"/>
    <mergeCell ref="A35:G35"/>
    <mergeCell ref="B1:C1"/>
    <mergeCell ref="F1:G1"/>
    <mergeCell ref="B2:G2"/>
    <mergeCell ref="B4:G4"/>
    <mergeCell ref="B5:G5"/>
    <mergeCell ref="B6:D6"/>
    <mergeCell ref="H4:L4"/>
    <mergeCell ref="J11:K11"/>
    <mergeCell ref="J9:K9"/>
    <mergeCell ref="B11:G11"/>
    <mergeCell ref="B7:D7"/>
    <mergeCell ref="B8:G8"/>
    <mergeCell ref="B9:G9"/>
    <mergeCell ref="B10:G10"/>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1"/>
  <sheetViews>
    <sheetView topLeftCell="A14" zoomScaleNormal="100" workbookViewId="0">
      <selection activeCell="B24" sqref="A24:XFD27"/>
    </sheetView>
  </sheetViews>
  <sheetFormatPr defaultColWidth="9" defaultRowHeight="13.5"/>
  <cols>
    <col min="1" max="1" width="7.875" style="173" customWidth="1"/>
    <col min="2" max="2" width="8.5" style="173" customWidth="1"/>
    <col min="3" max="3" width="6.625" style="173" customWidth="1"/>
    <col min="4" max="4" width="15.75" style="173" customWidth="1"/>
    <col min="5" max="6" width="15.75" style="91" customWidth="1"/>
    <col min="7" max="7" width="18.25" style="91" customWidth="1"/>
    <col min="8" max="8" width="17.375" style="91" customWidth="1"/>
    <col min="9" max="9" width="14.625" style="91" customWidth="1"/>
    <col min="10" max="10" width="8.375" style="91" customWidth="1"/>
    <col min="11" max="11" width="7.5" style="91" customWidth="1"/>
    <col min="12" max="12" width="7.875" style="173" customWidth="1"/>
    <col min="13" max="13" width="9.25" style="173" customWidth="1"/>
    <col min="14" max="14" width="12.375" style="173" customWidth="1"/>
    <col min="15" max="16384" width="9" style="173"/>
  </cols>
  <sheetData>
    <row r="1" spans="1:13" ht="21">
      <c r="A1" s="38" t="s">
        <v>114</v>
      </c>
      <c r="B1" s="545">
        <v>11</v>
      </c>
      <c r="C1" s="546"/>
      <c r="D1" s="39" t="s">
        <v>40</v>
      </c>
      <c r="E1" s="40" t="s">
        <v>111</v>
      </c>
      <c r="F1" s="531"/>
      <c r="G1" s="532"/>
      <c r="H1" s="96" t="s">
        <v>55</v>
      </c>
    </row>
    <row r="2" spans="1:13" ht="24.75" customHeight="1">
      <c r="A2" s="39" t="s">
        <v>0</v>
      </c>
      <c r="B2" s="533" t="s">
        <v>218</v>
      </c>
      <c r="C2" s="533"/>
      <c r="D2" s="533"/>
      <c r="E2" s="533"/>
      <c r="F2" s="533"/>
      <c r="G2" s="533"/>
      <c r="H2" s="96" t="s">
        <v>56</v>
      </c>
    </row>
    <row r="3" spans="1:13" ht="19.5" customHeight="1">
      <c r="A3" s="102" t="s">
        <v>48</v>
      </c>
      <c r="B3" s="91"/>
      <c r="C3" s="91"/>
      <c r="D3" s="91"/>
      <c r="I3" s="96"/>
    </row>
    <row r="4" spans="1:13">
      <c r="A4" s="76" t="s">
        <v>46</v>
      </c>
      <c r="B4" s="439" t="s">
        <v>219</v>
      </c>
      <c r="C4" s="440"/>
      <c r="D4" s="440"/>
      <c r="E4" s="440"/>
      <c r="F4" s="440"/>
      <c r="G4" s="441"/>
      <c r="H4" s="381" t="s">
        <v>201</v>
      </c>
      <c r="I4" s="382"/>
      <c r="J4" s="382"/>
      <c r="K4" s="382"/>
      <c r="L4" s="383"/>
    </row>
    <row r="5" spans="1:13">
      <c r="A5" s="77" t="s">
        <v>39</v>
      </c>
      <c r="B5" s="439" t="s">
        <v>147</v>
      </c>
      <c r="C5" s="440"/>
      <c r="D5" s="440"/>
      <c r="E5" s="440"/>
      <c r="F5" s="440"/>
      <c r="G5" s="441"/>
      <c r="H5" s="182" t="s">
        <v>43</v>
      </c>
      <c r="I5" s="184" t="s">
        <v>71</v>
      </c>
      <c r="J5" s="184">
        <v>10</v>
      </c>
    </row>
    <row r="6" spans="1:13">
      <c r="A6" s="77" t="s">
        <v>7</v>
      </c>
      <c r="B6" s="439" t="s">
        <v>5</v>
      </c>
      <c r="C6" s="440"/>
      <c r="D6" s="441"/>
      <c r="E6" s="182" t="s">
        <v>43</v>
      </c>
      <c r="F6" s="183" t="str">
        <f>$I$5</f>
        <v>遠隔</v>
      </c>
      <c r="G6" s="183">
        <f>IF($J$5 = 0,"", $J$5)</f>
        <v>10</v>
      </c>
      <c r="H6" s="182" t="s">
        <v>66</v>
      </c>
      <c r="I6" s="184"/>
      <c r="J6" s="184"/>
    </row>
    <row r="7" spans="1:13">
      <c r="A7" s="78" t="s">
        <v>6</v>
      </c>
      <c r="B7" s="439" t="s">
        <v>91</v>
      </c>
      <c r="C7" s="440"/>
      <c r="D7" s="441"/>
      <c r="E7" s="182" t="s">
        <v>66</v>
      </c>
      <c r="F7" s="183" t="str">
        <f>IF($I$6 = 0,"", $I$6)</f>
        <v/>
      </c>
      <c r="G7" s="183" t="str">
        <f>IF($J$6 = 0,"", $J$6)</f>
        <v/>
      </c>
      <c r="H7" s="182" t="s">
        <v>85</v>
      </c>
      <c r="I7" s="310" t="s">
        <v>439</v>
      </c>
      <c r="J7" s="96" t="s">
        <v>62</v>
      </c>
      <c r="L7" s="191" t="s">
        <v>193</v>
      </c>
    </row>
    <row r="8" spans="1:13">
      <c r="A8" s="78" t="s">
        <v>8</v>
      </c>
      <c r="B8" s="439" t="s">
        <v>178</v>
      </c>
      <c r="C8" s="440"/>
      <c r="D8" s="440"/>
      <c r="E8" s="440"/>
      <c r="F8" s="440"/>
      <c r="G8" s="441"/>
      <c r="H8" s="182" t="s">
        <v>51</v>
      </c>
      <c r="I8" s="184" t="s">
        <v>17</v>
      </c>
      <c r="J8" s="183">
        <f>IF($I$8 = "筋力",基本!$C$5,IF($I$8 = "耐久力",基本!$C$6,IF($I$8 = "敏捷力",基本!$C$7,IF($I$8 = "知力",基本!$C$8,IF($I$8 = "判断力",基本!$C$9,IF($I$8 = "魅力",基本!$C$10,""))))))</f>
        <v>6</v>
      </c>
      <c r="K8" s="184" t="s">
        <v>19</v>
      </c>
      <c r="L8" s="192">
        <f>$J$8+$L$9+$I$9</f>
        <v>20</v>
      </c>
    </row>
    <row r="9" spans="1:13" ht="14.25" customHeight="1">
      <c r="A9" s="80" t="s">
        <v>9</v>
      </c>
      <c r="B9" s="444" t="s">
        <v>222</v>
      </c>
      <c r="C9" s="445"/>
      <c r="D9" s="445"/>
      <c r="E9" s="445"/>
      <c r="F9" s="445"/>
      <c r="G9" s="446"/>
      <c r="H9" s="182" t="s">
        <v>58</v>
      </c>
      <c r="I9" s="184">
        <v>0</v>
      </c>
      <c r="J9" s="381" t="s">
        <v>53</v>
      </c>
      <c r="K9" s="383"/>
      <c r="L9" s="183">
        <f>IF($I$7=基本!$F$4,基本!$O$7,IF($I$7=基本!$F$13,基本!$O$16,IF($I$7=基本!$F$22,基本!$O$25,IF($I$7=基本!$F$31,基本!$O$34,IF($I$7=基本!$F$40,基本!$O$43,0)))))</f>
        <v>14</v>
      </c>
    </row>
    <row r="10" spans="1:13" ht="14.25" customHeight="1">
      <c r="A10" s="80"/>
      <c r="B10" s="547" t="s">
        <v>224</v>
      </c>
      <c r="C10" s="518"/>
      <c r="D10" s="518"/>
      <c r="E10" s="518"/>
      <c r="F10" s="518"/>
      <c r="G10" s="519"/>
      <c r="H10" s="181" t="s">
        <v>52</v>
      </c>
      <c r="I10" s="184" t="s">
        <v>17</v>
      </c>
      <c r="J10" s="100">
        <f>IF($I$10 = "筋力",基本!$C$5,IF($I$10 = "耐久力",基本!$C$6,IF($I$10 = "敏捷力",基本!$C$7,IF($I$10 = "知力",基本!$C$8,IF($I$10 = "判断力",基本!$C$9,IF($I$10 = "魅力",基本!$C$10,""))))))</f>
        <v>6</v>
      </c>
      <c r="L10" s="91"/>
    </row>
    <row r="11" spans="1:13" ht="7.5" customHeight="1">
      <c r="A11" s="81"/>
      <c r="B11" s="502"/>
      <c r="C11" s="503"/>
      <c r="D11" s="503"/>
      <c r="E11" s="503"/>
      <c r="F11" s="503"/>
      <c r="G11" s="504"/>
      <c r="H11" s="182" t="s">
        <v>59</v>
      </c>
      <c r="I11" s="184">
        <v>0</v>
      </c>
      <c r="J11" s="381" t="s">
        <v>54</v>
      </c>
      <c r="K11" s="383"/>
      <c r="L11" s="183">
        <f>IF($I$7=基本!$F$4,基本!$O$9,IF($I$7=基本!$F$13,基本!$O$18,IF($I$7=基本!$F$22,基本!$O$27,IF($I$7=基本!$F$31,基本!$O$36,IF($I$7=基本!$F$40,基本!$O$45,0)))))</f>
        <v>24</v>
      </c>
    </row>
    <row r="12" spans="1:13">
      <c r="A12" s="80" t="s">
        <v>61</v>
      </c>
      <c r="B12" s="481" t="s">
        <v>225</v>
      </c>
      <c r="C12" s="482"/>
      <c r="D12" s="482"/>
      <c r="E12" s="482"/>
      <c r="F12" s="482"/>
      <c r="G12" s="483"/>
      <c r="L12" s="191" t="s">
        <v>193</v>
      </c>
    </row>
    <row r="13" spans="1:13" ht="6.75" customHeight="1">
      <c r="A13" s="80"/>
      <c r="B13" s="466"/>
      <c r="C13" s="359"/>
      <c r="D13" s="359"/>
      <c r="E13" s="359"/>
      <c r="F13" s="359"/>
      <c r="G13" s="467"/>
      <c r="H13" s="182" t="s">
        <v>86</v>
      </c>
      <c r="I13" s="184">
        <v>1</v>
      </c>
      <c r="J13" s="182" t="s">
        <v>44</v>
      </c>
      <c r="K13" s="184">
        <v>8</v>
      </c>
      <c r="L13" s="192">
        <f>$J$10+$L$11+$I$11</f>
        <v>30</v>
      </c>
      <c r="M13" s="105"/>
    </row>
    <row r="14" spans="1:13" ht="6.75" customHeight="1">
      <c r="A14" s="109"/>
      <c r="B14" s="548"/>
      <c r="C14" s="549"/>
      <c r="D14" s="549"/>
      <c r="E14" s="549"/>
      <c r="F14" s="549"/>
      <c r="G14" s="550"/>
      <c r="H14" s="182" t="s">
        <v>50</v>
      </c>
      <c r="I14" s="32">
        <f>IF($I$7=基本!$F$4,基本!$L$11,IF($I$7=基本!$F$13,基本!$L$20,IF($I$7=基本!$F$22,基本!$L$29,IF($I$7=基本!$F$31,基本!$L$38,IF($I$7=基本!$F$40,基本!$L$47,0)))))</f>
        <v>4</v>
      </c>
      <c r="J14" s="182" t="s">
        <v>44</v>
      </c>
      <c r="K14" s="32">
        <f>IF($I$7=基本!$F$4,基本!$N$11,IF($I$7=基本!$F$13,基本!$N$20,IF($I$7=基本!$F$22,基本!$N$29,IF($I$7=基本!$F$31,基本!$N$38,IF($I$7=基本!$F$40,基本!$N$47,0)))))</f>
        <v>6</v>
      </c>
      <c r="L14" s="192">
        <f>$J$10+$L$11+$I$11+($I$13*$K$13)</f>
        <v>38</v>
      </c>
      <c r="M14" s="105"/>
    </row>
    <row r="15" spans="1:13" ht="18.75" customHeight="1">
      <c r="A15" s="80"/>
      <c r="B15" s="499" t="s">
        <v>526</v>
      </c>
      <c r="C15" s="500"/>
      <c r="D15" s="500"/>
      <c r="E15" s="500"/>
      <c r="F15" s="500"/>
      <c r="G15" s="501"/>
      <c r="H15" s="182" t="s">
        <v>60</v>
      </c>
      <c r="I15" s="184" t="s">
        <v>80</v>
      </c>
      <c r="J15" s="182" t="s">
        <v>195</v>
      </c>
      <c r="K15" s="184" t="s">
        <v>17</v>
      </c>
      <c r="L15" s="183">
        <f>IF(K15="",0,VLOOKUP(K15,基本!$A$5:'基本'!$C$10,3,FALSE))</f>
        <v>6</v>
      </c>
    </row>
    <row r="16" spans="1:13" ht="8.25" customHeight="1">
      <c r="A16" s="81"/>
      <c r="B16" s="469"/>
      <c r="C16" s="468"/>
      <c r="D16" s="468"/>
      <c r="E16" s="468"/>
      <c r="F16" s="468"/>
      <c r="G16" s="470"/>
      <c r="H16" s="173"/>
      <c r="I16" s="173"/>
      <c r="J16" s="173"/>
      <c r="K16" s="173"/>
    </row>
    <row r="17" spans="1:11" ht="14.25" thickBot="1">
      <c r="A17" s="136" t="s">
        <v>47</v>
      </c>
      <c r="E17" s="92"/>
      <c r="H17" s="173"/>
      <c r="I17" s="173"/>
      <c r="J17" s="173"/>
      <c r="K17" s="173"/>
    </row>
    <row r="18" spans="1:11" ht="13.5" customHeight="1">
      <c r="A18" s="525" t="str">
        <f>$B$2</f>
        <v>デーモンソウル・ボルツ</v>
      </c>
      <c r="B18" s="526"/>
      <c r="C18" s="527"/>
      <c r="D18" s="497" t="s">
        <v>2</v>
      </c>
      <c r="E18" s="498"/>
      <c r="F18" s="484" t="s">
        <v>272</v>
      </c>
      <c r="G18" s="485"/>
      <c r="H18" s="173"/>
      <c r="I18" s="173"/>
      <c r="J18" s="173"/>
      <c r="K18" s="173"/>
    </row>
    <row r="19" spans="1:11" ht="16.5" customHeight="1" thickBot="1">
      <c r="A19" s="528"/>
      <c r="B19" s="529"/>
      <c r="C19" s="530"/>
      <c r="D19" s="160" t="s">
        <v>2</v>
      </c>
      <c r="E19" s="215" t="s">
        <v>1</v>
      </c>
      <c r="F19" s="160" t="s">
        <v>2</v>
      </c>
      <c r="G19" s="214" t="s">
        <v>1</v>
      </c>
      <c r="H19" s="173"/>
      <c r="I19" s="173"/>
      <c r="J19" s="173"/>
      <c r="K19" s="173"/>
    </row>
    <row r="20" spans="1:11" ht="21" customHeight="1">
      <c r="A20" s="450" t="s">
        <v>42</v>
      </c>
      <c r="B20" s="225" t="s">
        <v>113</v>
      </c>
      <c r="C20" s="488" t="str">
        <f>$K$8</f>
        <v>頑健</v>
      </c>
      <c r="D20" s="222" t="str">
        <f>$L$8 &amp; "+1d20"</f>
        <v>20+1d20</v>
      </c>
      <c r="E20" s="223" t="str">
        <f>$L$8+2 &amp; "+1d20"</f>
        <v>22+1d20</v>
      </c>
      <c r="F20" s="222" t="str">
        <f>$L$8 &amp; "+1d20"</f>
        <v>20+1d20</v>
      </c>
      <c r="G20" s="224" t="str">
        <f>$L$8+2 &amp; "+1d20"</f>
        <v>22+1d20</v>
      </c>
      <c r="H20" s="173"/>
      <c r="I20" s="173"/>
      <c r="J20" s="173"/>
      <c r="K20" s="173"/>
    </row>
    <row r="21" spans="1:11" ht="21" customHeight="1">
      <c r="A21" s="451"/>
      <c r="B21" s="319" t="s">
        <v>427</v>
      </c>
      <c r="C21" s="489"/>
      <c r="D21" s="313" t="str">
        <f>$L$8 -5&amp; "+1d20"</f>
        <v>15+1d20</v>
      </c>
      <c r="E21" s="314" t="str">
        <f>$L$8+2 -5&amp; "+1d20"</f>
        <v>17+1d20</v>
      </c>
      <c r="F21" s="313" t="str">
        <f>$L$8 -5&amp; "+1d20"</f>
        <v>15+1d20</v>
      </c>
      <c r="G21" s="315" t="str">
        <f>$L$8+2 -5&amp; "+1d20"</f>
        <v>17+1d20</v>
      </c>
      <c r="H21" s="173"/>
      <c r="I21" s="173"/>
      <c r="J21" s="173"/>
      <c r="K21" s="173"/>
    </row>
    <row r="22" spans="1:11" ht="21" customHeight="1">
      <c r="A22" s="451"/>
      <c r="B22" s="321" t="s">
        <v>365</v>
      </c>
      <c r="C22" s="489"/>
      <c r="D22" s="316" t="str">
        <f>3+$L$8 &amp; "+1d20"</f>
        <v>23+1d20</v>
      </c>
      <c r="E22" s="317" t="str">
        <f>3+$L$8+2 &amp; "+1d20"</f>
        <v>25+1d20</v>
      </c>
      <c r="F22" s="316" t="str">
        <f>3+$L$8 &amp; "+1d20"</f>
        <v>23+1d20</v>
      </c>
      <c r="G22" s="318" t="str">
        <f>3+$L$8+2 &amp; "+1d20"</f>
        <v>25+1d20</v>
      </c>
      <c r="H22" s="173"/>
      <c r="I22" s="173"/>
      <c r="J22" s="173"/>
      <c r="K22" s="173"/>
    </row>
    <row r="23" spans="1:11" ht="21" customHeight="1" thickBot="1">
      <c r="A23" s="452"/>
      <c r="B23" s="320" t="s">
        <v>428</v>
      </c>
      <c r="C23" s="490"/>
      <c r="D23" s="226" t="str">
        <f>3+$L$8 -5&amp; "+1d20"</f>
        <v>18+1d20</v>
      </c>
      <c r="E23" s="227" t="str">
        <f>3+$L$8+2 -5&amp; "+1d20"</f>
        <v>20+1d20</v>
      </c>
      <c r="F23" s="226" t="str">
        <f>3+$L$8 -5&amp; "+1d20"</f>
        <v>18+1d20</v>
      </c>
      <c r="G23" s="228" t="str">
        <f>3+$L$8+2 -5&amp; "+1d20"</f>
        <v>20+1d20</v>
      </c>
      <c r="H23" s="173"/>
      <c r="I23" s="173"/>
      <c r="J23" s="173"/>
      <c r="K23" s="173"/>
    </row>
    <row r="24" spans="1:11" ht="21" customHeight="1">
      <c r="A24" s="442" t="s">
        <v>513</v>
      </c>
      <c r="B24" s="107" t="s">
        <v>4</v>
      </c>
      <c r="C24" s="110" t="str">
        <f t="shared" ref="C24:C26" si="0">IF($I$15 = 0,"", $I$15)</f>
        <v>雷鳴</v>
      </c>
      <c r="D24" s="111" t="str">
        <f>$L$13 &amp; "+" &amp; $I$13 &amp; "d" &amp; $K$13</f>
        <v>30+1d8</v>
      </c>
      <c r="E24" s="216" t="str">
        <f>$L$13 &amp; "+" &amp; $I$13 &amp; "d" &amp; $K$13</f>
        <v>30+1d8</v>
      </c>
      <c r="F24" s="111" t="str">
        <f>$L$13 &amp; "+" &amp; $I$13 &amp; "d" &amp; $K$13&amp;"+1d6"</f>
        <v>30+1d8+1d6</v>
      </c>
      <c r="G24" s="158" t="str">
        <f>$L$13 &amp; "+" &amp; $I$13 &amp; "d" &amp; $K$13&amp;"+1d6"</f>
        <v>30+1d8+1d6</v>
      </c>
      <c r="H24" s="173"/>
      <c r="I24" s="173"/>
      <c r="J24" s="173"/>
      <c r="K24" s="173"/>
    </row>
    <row r="25" spans="1:11" ht="21" customHeight="1" thickBot="1">
      <c r="A25" s="443"/>
      <c r="B25" s="104" t="s">
        <v>3</v>
      </c>
      <c r="C25" s="354" t="s">
        <v>604</v>
      </c>
      <c r="D25" s="106" t="str">
        <f>$L$14 &amp; IF($I$14 = 0,"","+" &amp; $I$14 &amp; "d" &amp; $K$14)</f>
        <v>38+4d6</v>
      </c>
      <c r="E25" s="217" t="str">
        <f>$L$14 &amp; IF($I$14 = 0,"","+" &amp; $I$14 &amp; "d" &amp; $K$14)</f>
        <v>38+4d6</v>
      </c>
      <c r="F25" s="106" t="str">
        <f>6+$L$14 &amp; IF($I$14 = 0,"","+" &amp; $I$14 &amp; "d" &amp; $K$14)</f>
        <v>44+4d6</v>
      </c>
      <c r="G25" s="103" t="str">
        <f>6+$L$14 &amp; IF($I$14 = 0,"","+" &amp; $I$14 &amp; "d" &amp; $K$14)</f>
        <v>44+4d6</v>
      </c>
      <c r="H25" s="173"/>
      <c r="I25" s="173"/>
      <c r="J25" s="173"/>
      <c r="K25" s="173"/>
    </row>
    <row r="26" spans="1:11" ht="21" customHeight="1">
      <c r="A26" s="442" t="s">
        <v>266</v>
      </c>
      <c r="B26" s="107" t="s">
        <v>4</v>
      </c>
      <c r="C26" s="110" t="str">
        <f t="shared" si="0"/>
        <v>雷鳴</v>
      </c>
      <c r="D26" s="111" t="str">
        <f>2+$L$13 &amp; "+" &amp; $I$13 &amp; "d" &amp; $K$13</f>
        <v>32+1d8</v>
      </c>
      <c r="E26" s="216" t="str">
        <f>2+$L$13 &amp; "+" &amp; $I$13 &amp; "d" &amp; $K$13</f>
        <v>32+1d8</v>
      </c>
      <c r="F26" s="111" t="str">
        <f>2+$L$13 &amp; "+" &amp; $I$13 &amp; "d" &amp; $K$13&amp;"+1d6"</f>
        <v>32+1d8+1d6</v>
      </c>
      <c r="G26" s="158" t="str">
        <f>2+$L$13 &amp; "+" &amp; $I$13 &amp; "d" &amp; $K$13&amp;"+1d6"</f>
        <v>32+1d8+1d6</v>
      </c>
      <c r="H26" s="173"/>
      <c r="I26" s="173"/>
      <c r="J26" s="173"/>
      <c r="K26" s="173"/>
    </row>
    <row r="27" spans="1:11" ht="21" customHeight="1" thickBot="1">
      <c r="A27" s="443"/>
      <c r="B27" s="104" t="s">
        <v>3</v>
      </c>
      <c r="C27" s="354" t="s">
        <v>604</v>
      </c>
      <c r="D27" s="106" t="str">
        <f>2+$L$14 &amp; IF($I$14 = 0,"","+" &amp; $I$14 &amp; "d" &amp; $K$14)</f>
        <v>40+4d6</v>
      </c>
      <c r="E27" s="217" t="str">
        <f>2+$L$14 &amp; IF($I$14 = 0,"","+" &amp; $I$14 &amp; "d" &amp; $K$14)</f>
        <v>40+4d6</v>
      </c>
      <c r="F27" s="106" t="str">
        <f>2+6+$L$14 &amp; IF($I$14 = 0,"","+" &amp; $I$14 &amp; "d" &amp; $K$14)</f>
        <v>46+4d6</v>
      </c>
      <c r="G27" s="103" t="str">
        <f>2+6+$L$14 &amp; IF($I$14 = 0,"","+" &amp; $I$14 &amp; "d" &amp; $K$14)</f>
        <v>46+4d6</v>
      </c>
      <c r="H27" s="173"/>
      <c r="I27" s="173"/>
      <c r="J27" s="173"/>
      <c r="K27" s="173"/>
    </row>
    <row r="28" spans="1:11" s="203" customFormat="1" ht="9.75" customHeight="1">
      <c r="A28" s="480"/>
      <c r="B28" s="480"/>
      <c r="C28" s="480"/>
      <c r="D28" s="480"/>
      <c r="E28" s="480"/>
      <c r="F28" s="480"/>
      <c r="G28" s="480"/>
      <c r="H28" s="202"/>
    </row>
    <row r="29" spans="1:11" ht="14.25">
      <c r="A29" s="362" t="s">
        <v>515</v>
      </c>
      <c r="B29" s="362"/>
      <c r="C29" s="362"/>
      <c r="D29" s="362"/>
      <c r="E29" s="362"/>
      <c r="F29" s="362"/>
      <c r="G29" s="362"/>
      <c r="I29" s="173"/>
      <c r="J29" s="173"/>
      <c r="K29" s="173"/>
    </row>
    <row r="30" spans="1:11" ht="14.25">
      <c r="A30" s="362" t="s">
        <v>299</v>
      </c>
      <c r="B30" s="362"/>
      <c r="C30" s="362"/>
      <c r="D30" s="362"/>
      <c r="E30" s="362"/>
      <c r="F30" s="362"/>
      <c r="G30" s="362"/>
      <c r="I30" s="173"/>
      <c r="J30" s="173"/>
      <c r="K30" s="173"/>
    </row>
    <row r="31" spans="1:11" s="205" customFormat="1" ht="14.25">
      <c r="A31" s="362" t="s">
        <v>298</v>
      </c>
      <c r="B31" s="362"/>
      <c r="C31" s="362"/>
      <c r="D31" s="362"/>
      <c r="E31" s="362"/>
      <c r="F31" s="362"/>
      <c r="G31" s="362"/>
      <c r="H31" s="204"/>
      <c r="I31" s="204"/>
      <c r="J31" s="204"/>
      <c r="K31" s="204"/>
    </row>
    <row r="32" spans="1:11" s="203" customFormat="1" ht="14.25">
      <c r="A32" s="362" t="s">
        <v>301</v>
      </c>
      <c r="B32" s="362"/>
      <c r="C32" s="362"/>
      <c r="D32" s="362"/>
      <c r="E32" s="362"/>
      <c r="F32" s="362"/>
      <c r="G32" s="362"/>
      <c r="H32" s="202"/>
    </row>
    <row r="33" spans="1:13" ht="14.25">
      <c r="A33" s="362" t="s">
        <v>590</v>
      </c>
      <c r="B33" s="362"/>
      <c r="C33" s="362"/>
      <c r="D33" s="362"/>
      <c r="E33" s="362"/>
      <c r="F33" s="362"/>
      <c r="G33" s="362"/>
      <c r="I33" s="173"/>
      <c r="J33" s="173"/>
      <c r="K33" s="173"/>
    </row>
    <row r="34" spans="1:13" s="205" customFormat="1" ht="14.25">
      <c r="A34" s="362" t="s">
        <v>220</v>
      </c>
      <c r="B34" s="362"/>
      <c r="C34" s="362"/>
      <c r="D34" s="362"/>
      <c r="E34" s="362"/>
      <c r="F34" s="362"/>
      <c r="G34" s="362"/>
      <c r="H34" s="204"/>
    </row>
    <row r="35" spans="1:13" ht="14.25">
      <c r="A35" s="362" t="s">
        <v>440</v>
      </c>
      <c r="B35" s="362"/>
      <c r="C35" s="362"/>
      <c r="D35" s="362"/>
      <c r="E35" s="362"/>
      <c r="F35" s="362"/>
      <c r="G35" s="362"/>
      <c r="I35" s="173"/>
      <c r="J35" s="173"/>
      <c r="K35" s="173"/>
    </row>
    <row r="36" spans="1:13" ht="14.25">
      <c r="A36" s="362" t="s">
        <v>535</v>
      </c>
      <c r="B36" s="362"/>
      <c r="C36" s="362"/>
      <c r="D36" s="362"/>
      <c r="E36" s="362"/>
      <c r="F36" s="362"/>
      <c r="G36" s="362"/>
      <c r="H36" s="173"/>
      <c r="I36" s="173"/>
      <c r="J36" s="173"/>
      <c r="K36" s="173"/>
    </row>
    <row r="37" spans="1:13" ht="14.25">
      <c r="A37" s="362" t="s">
        <v>366</v>
      </c>
      <c r="B37" s="362"/>
      <c r="C37" s="362"/>
      <c r="D37" s="362"/>
      <c r="E37" s="362"/>
      <c r="F37" s="362"/>
      <c r="G37" s="362"/>
      <c r="J37" s="173"/>
      <c r="K37" s="173"/>
    </row>
    <row r="38" spans="1:13" ht="14.25">
      <c r="A38" s="362" t="s">
        <v>215</v>
      </c>
      <c r="B38" s="362"/>
      <c r="C38" s="362"/>
      <c r="D38" s="362"/>
      <c r="E38" s="362"/>
      <c r="F38" s="362"/>
      <c r="G38" s="362"/>
      <c r="J38" s="173"/>
      <c r="K38" s="173"/>
    </row>
    <row r="39" spans="1:13">
      <c r="A39" s="377" t="s">
        <v>216</v>
      </c>
      <c r="B39" s="377"/>
      <c r="C39" s="377"/>
      <c r="D39" s="377"/>
      <c r="E39" s="377"/>
      <c r="F39" s="377"/>
      <c r="G39" s="377"/>
      <c r="I39" s="173"/>
    </row>
    <row r="40" spans="1:13">
      <c r="A40" s="377" t="s">
        <v>217</v>
      </c>
      <c r="B40" s="377"/>
      <c r="C40" s="377"/>
      <c r="D40" s="377"/>
      <c r="E40" s="377"/>
      <c r="F40" s="377"/>
      <c r="G40" s="377"/>
    </row>
    <row r="41" spans="1:13" ht="8.25" customHeight="1">
      <c r="A41" s="468"/>
      <c r="B41" s="468"/>
      <c r="C41" s="468"/>
      <c r="D41" s="468"/>
      <c r="E41" s="468"/>
      <c r="F41" s="468"/>
      <c r="G41" s="468"/>
    </row>
    <row r="42" spans="1:13">
      <c r="A42" s="473" t="s">
        <v>49</v>
      </c>
      <c r="B42" s="474"/>
      <c r="C42" s="474"/>
      <c r="D42" s="474"/>
      <c r="E42" s="474"/>
      <c r="F42" s="474"/>
      <c r="G42" s="475"/>
    </row>
    <row r="43" spans="1:13" s="204" customFormat="1" ht="13.5" customHeight="1">
      <c r="A43" s="508"/>
      <c r="B43" s="509"/>
      <c r="C43" s="509"/>
      <c r="D43" s="509"/>
      <c r="E43" s="509"/>
      <c r="F43" s="509"/>
      <c r="G43" s="510"/>
      <c r="L43" s="205"/>
      <c r="M43" s="205"/>
    </row>
    <row r="44" spans="1:13" s="204" customFormat="1" ht="13.5" customHeight="1">
      <c r="A44" s="466" t="s">
        <v>320</v>
      </c>
      <c r="B44" s="359"/>
      <c r="C44" s="359"/>
      <c r="D44" s="359"/>
      <c r="E44" s="359"/>
      <c r="F44" s="359"/>
      <c r="G44" s="467"/>
      <c r="L44" s="205"/>
      <c r="M44" s="205"/>
    </row>
    <row r="45" spans="1:13" s="204" customFormat="1" ht="13.5" customHeight="1">
      <c r="A45" s="466" t="s">
        <v>321</v>
      </c>
      <c r="B45" s="359"/>
      <c r="C45" s="359"/>
      <c r="D45" s="359"/>
      <c r="E45" s="359"/>
      <c r="F45" s="359"/>
      <c r="G45" s="467"/>
      <c r="L45" s="205"/>
      <c r="M45" s="205"/>
    </row>
    <row r="46" spans="1:13" s="204" customFormat="1" ht="13.5" customHeight="1">
      <c r="A46" s="466" t="s">
        <v>516</v>
      </c>
      <c r="B46" s="359"/>
      <c r="C46" s="359"/>
      <c r="D46" s="359"/>
      <c r="E46" s="359"/>
      <c r="F46" s="359"/>
      <c r="G46" s="467"/>
      <c r="L46" s="205"/>
      <c r="M46" s="205"/>
    </row>
    <row r="47" spans="1:13" s="204" customFormat="1" ht="13.5" customHeight="1">
      <c r="A47" s="508"/>
      <c r="B47" s="509"/>
      <c r="C47" s="509"/>
      <c r="D47" s="509"/>
      <c r="E47" s="509"/>
      <c r="F47" s="509"/>
      <c r="G47" s="510"/>
      <c r="L47" s="205"/>
      <c r="M47" s="205"/>
    </row>
    <row r="48" spans="1:13" s="204" customFormat="1" ht="13.5" customHeight="1">
      <c r="A48" s="508"/>
      <c r="B48" s="509"/>
      <c r="C48" s="509"/>
      <c r="D48" s="509"/>
      <c r="E48" s="509"/>
      <c r="F48" s="509"/>
      <c r="G48" s="510"/>
      <c r="L48" s="205"/>
      <c r="M48" s="205"/>
    </row>
    <row r="49" spans="1:13" s="204" customFormat="1" ht="13.5" customHeight="1">
      <c r="A49" s="508"/>
      <c r="B49" s="509"/>
      <c r="C49" s="509"/>
      <c r="D49" s="509"/>
      <c r="E49" s="509"/>
      <c r="F49" s="509"/>
      <c r="G49" s="510"/>
      <c r="L49" s="205"/>
      <c r="M49" s="205"/>
    </row>
    <row r="50" spans="1:13" s="204" customFormat="1" ht="13.5" customHeight="1">
      <c r="A50" s="508"/>
      <c r="B50" s="509"/>
      <c r="C50" s="509"/>
      <c r="D50" s="509"/>
      <c r="E50" s="509"/>
      <c r="F50" s="509"/>
      <c r="G50" s="510"/>
      <c r="L50" s="205"/>
      <c r="M50" s="205"/>
    </row>
    <row r="51" spans="1:13" s="91" customFormat="1" ht="21">
      <c r="A51" s="35" t="s">
        <v>114</v>
      </c>
      <c r="B51" s="185">
        <f>$B$1</f>
        <v>11</v>
      </c>
      <c r="C51" s="36" t="s">
        <v>40</v>
      </c>
      <c r="D51" s="37" t="str">
        <f>$E$1</f>
        <v>遭遇毎</v>
      </c>
      <c r="E51" s="537" t="str">
        <f>$B$2</f>
        <v>デーモンソウル・ボルツ</v>
      </c>
      <c r="F51" s="538"/>
      <c r="G51" s="539"/>
      <c r="L51" s="173"/>
    </row>
  </sheetData>
  <mergeCells count="50">
    <mergeCell ref="A34:G34"/>
    <mergeCell ref="A35:G35"/>
    <mergeCell ref="E51:G51"/>
    <mergeCell ref="A42:G42"/>
    <mergeCell ref="A43:G43"/>
    <mergeCell ref="A46:G46"/>
    <mergeCell ref="A45:G45"/>
    <mergeCell ref="A49:G49"/>
    <mergeCell ref="A50:G50"/>
    <mergeCell ref="A44:G44"/>
    <mergeCell ref="A47:G47"/>
    <mergeCell ref="A48:G48"/>
    <mergeCell ref="B15:G15"/>
    <mergeCell ref="B11:G11"/>
    <mergeCell ref="B14:G14"/>
    <mergeCell ref="B16:G16"/>
    <mergeCell ref="A18:C19"/>
    <mergeCell ref="D18:E18"/>
    <mergeCell ref="F18:G18"/>
    <mergeCell ref="A20:A23"/>
    <mergeCell ref="C20:C23"/>
    <mergeCell ref="A41:G41"/>
    <mergeCell ref="A28:G28"/>
    <mergeCell ref="A30:G30"/>
    <mergeCell ref="A31:G31"/>
    <mergeCell ref="A36:G36"/>
    <mergeCell ref="A37:G37"/>
    <mergeCell ref="A39:G39"/>
    <mergeCell ref="A40:G40"/>
    <mergeCell ref="A24:A25"/>
    <mergeCell ref="A26:A27"/>
    <mergeCell ref="A29:G29"/>
    <mergeCell ref="A38:G38"/>
    <mergeCell ref="A32:G32"/>
    <mergeCell ref="A33:G33"/>
    <mergeCell ref="B5:G5"/>
    <mergeCell ref="B6:D6"/>
    <mergeCell ref="B7:D7"/>
    <mergeCell ref="B8:G8"/>
    <mergeCell ref="B9:G9"/>
    <mergeCell ref="B1:C1"/>
    <mergeCell ref="F1:G1"/>
    <mergeCell ref="B2:G2"/>
    <mergeCell ref="B4:G4"/>
    <mergeCell ref="H4:L4"/>
    <mergeCell ref="J9:K9"/>
    <mergeCell ref="B10:G10"/>
    <mergeCell ref="J11:K11"/>
    <mergeCell ref="B12:G12"/>
    <mergeCell ref="B13:G13"/>
  </mergeCells>
  <phoneticPr fontId="1"/>
  <pageMargins left="0.7" right="0.7" top="0.75" bottom="0.75" header="0.3" footer="0.3"/>
  <pageSetup paperSize="9" orientation="portrait" horizontalDpi="300" verticalDpi="300" r:id="rId1"/>
  <headerFooter>
    <oddHeader>&amp;Cイーライ</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コンセプト</vt:lpstr>
      <vt:lpstr>基本</vt:lpstr>
      <vt:lpstr>技能</vt:lpstr>
      <vt:lpstr>武器基礎攻撃</vt:lpstr>
      <vt:lpstr>無01A</vt:lpstr>
      <vt:lpstr>無01B</vt:lpstr>
      <vt:lpstr>テーマ</vt:lpstr>
      <vt:lpstr>遭07</vt:lpstr>
      <vt:lpstr>遭11</vt:lpstr>
      <vt:lpstr>遭13</vt:lpstr>
      <vt:lpstr>遭17</vt:lpstr>
      <vt:lpstr>日05</vt:lpstr>
      <vt:lpstr>日09</vt:lpstr>
      <vt:lpstr>日15</vt:lpstr>
      <vt:lpstr>種族遭</vt:lpstr>
      <vt:lpstr>汎02</vt:lpstr>
      <vt:lpstr>汎06</vt:lpstr>
      <vt:lpstr>汎10</vt:lpstr>
      <vt:lpstr>汎12</vt:lpstr>
      <vt:lpstr>汎16</vt:lpstr>
      <vt:lpstr>日20</vt:lpstr>
      <vt:lpstr>テーマ!Print_Area</vt:lpstr>
      <vt:lpstr>基本!Print_Area</vt:lpstr>
      <vt:lpstr>種族遭!Print_Area</vt:lpstr>
      <vt:lpstr>遭07!Print_Area</vt:lpstr>
      <vt:lpstr>遭11!Print_Area</vt:lpstr>
      <vt:lpstr>遭13!Print_Area</vt:lpstr>
      <vt:lpstr>遭17!Print_Area</vt:lpstr>
      <vt:lpstr>日05!Print_Area</vt:lpstr>
      <vt:lpstr>日09!Print_Area</vt:lpstr>
      <vt:lpstr>日15!Print_Area</vt:lpstr>
      <vt:lpstr>日20!Print_Area</vt:lpstr>
      <vt:lpstr>汎02!Print_Area</vt:lpstr>
      <vt:lpstr>汎06!Print_Area</vt:lpstr>
      <vt:lpstr>汎10!Print_Area</vt:lpstr>
      <vt:lpstr>汎12!Print_Area</vt:lpstr>
      <vt:lpstr>汎16!Print_Area</vt:lpstr>
      <vt:lpstr>武器基礎攻撃!Print_Area</vt:lpstr>
      <vt:lpstr>無01A!Print_Area</vt:lpstr>
      <vt:lpstr>無01B!Print_Area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2016-07-12T16:03:04Z</cp:lastPrinted>
  <dcterms:created xsi:type="dcterms:W3CDTF">2012-08-09T16:34:12Z</dcterms:created>
  <dcterms:modified xsi:type="dcterms:W3CDTF">2016-07-14T09:48:44Z</dcterms:modified>
</cp:coreProperties>
</file>