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D:\Users\CAMEL\OneDrive\ドキュメント\GAME_DATA\DD4\木曜会\"/>
    </mc:Choice>
  </mc:AlternateContent>
  <bookViews>
    <workbookView xWindow="0" yWindow="-15" windowWidth="15285" windowHeight="8190" tabRatio="732" activeTab="1"/>
  </bookViews>
  <sheets>
    <sheet name="防御" sheetId="107" r:id="rId1"/>
    <sheet name="基本" sheetId="2" r:id="rId2"/>
    <sheet name="技能" sheetId="106" r:id="rId3"/>
    <sheet name="近接基礎" sheetId="69" r:id="rId4"/>
    <sheet name="つかみ" sheetId="109" r:id="rId5"/>
    <sheet name="無01C" sheetId="99" r:id="rId6"/>
    <sheet name="無01D" sheetId="93" r:id="rId7"/>
    <sheet name="遭03" sheetId="88" r:id="rId8"/>
    <sheet name="遭07" sheetId="89" r:id="rId9"/>
    <sheet name="遭11" sheetId="101" r:id="rId10"/>
    <sheet name="遭17" sheetId="108" r:id="rId11"/>
    <sheet name="日05" sheetId="90" r:id="rId12"/>
    <sheet name="日09" sheetId="98" r:id="rId13"/>
    <sheet name="日15" sheetId="76" r:id="rId14"/>
    <sheet name="クラスA " sheetId="94" r:id="rId15"/>
    <sheet name="クラスＢ" sheetId="95" r:id="rId16"/>
    <sheet name="種族" sheetId="97" r:id="rId17"/>
    <sheet name="汎02" sheetId="43" r:id="rId18"/>
    <sheet name="汎06" sheetId="73" r:id="rId19"/>
    <sheet name="汎10" sheetId="100" r:id="rId20"/>
    <sheet name="テーマ遭" sheetId="92" r:id="rId21"/>
    <sheet name="汎12" sheetId="102" r:id="rId22"/>
    <sheet name="汎16" sheetId="110" r:id="rId23"/>
    <sheet name="日20" sheetId="103" r:id="rId24"/>
    <sheet name="遭0１" sheetId="87" r:id="rId25"/>
  </sheets>
  <definedNames>
    <definedName name="_xlnm.Print_Area" localSheetId="14">'クラスA '!$A$1:$G$58</definedName>
    <definedName name="_xlnm.Print_Area" localSheetId="15">クラスＢ!$A$1:$G$55</definedName>
    <definedName name="_xlnm.Print_Area" localSheetId="4">つかみ!$A$1:$G$53</definedName>
    <definedName name="_xlnm.Print_Area" localSheetId="20">テーマ遭!$A$1:$G$59</definedName>
    <definedName name="_xlnm.Print_Area" localSheetId="1">基本!$A$1:$P$38</definedName>
    <definedName name="_xlnm.Print_Area" localSheetId="3">近接基礎!$A$1:$G$58</definedName>
    <definedName name="_xlnm.Print_Area" localSheetId="16">種族!$A$1:$G$58</definedName>
    <definedName name="_xlnm.Print_Area" localSheetId="24">遭0１!$A$1:$G$56</definedName>
    <definedName name="_xlnm.Print_Area" localSheetId="7">遭03!$A$1:$G$56</definedName>
    <definedName name="_xlnm.Print_Area" localSheetId="8">遭07!$A$1:$G$53</definedName>
    <definedName name="_xlnm.Print_Area" localSheetId="9">遭11!$A$1:$G$60</definedName>
    <definedName name="_xlnm.Print_Area" localSheetId="10">遭17!$A$1:$G$57</definedName>
    <definedName name="_xlnm.Print_Area" localSheetId="11">日05!$A$1:$G$55</definedName>
    <definedName name="_xlnm.Print_Area" localSheetId="12">日09!$A$1:$G$55</definedName>
    <definedName name="_xlnm.Print_Area" localSheetId="13">日15!$A$1:$G$58</definedName>
    <definedName name="_xlnm.Print_Area" localSheetId="23">日20!$A$1:$G$55</definedName>
    <definedName name="_xlnm.Print_Area" localSheetId="17">汎02!$A$1:$G$59</definedName>
    <definedName name="_xlnm.Print_Area" localSheetId="18">汎06!$A$1:$G$59</definedName>
    <definedName name="_xlnm.Print_Area" localSheetId="19">汎10!$A$1:$G$59</definedName>
    <definedName name="_xlnm.Print_Area" localSheetId="21">汎12!$A$1:$G$59</definedName>
    <definedName name="_xlnm.Print_Area" localSheetId="22">汎16!$A$1:$G$52</definedName>
    <definedName name="_xlnm.Print_Area" localSheetId="5">無01C!$A$1:$G$59</definedName>
    <definedName name="_xlnm.Print_Area" localSheetId="6">無01D!$A$1:$G$55</definedName>
  </definedNames>
  <calcPr calcId="171027"/>
</workbook>
</file>

<file path=xl/calcChain.xml><?xml version="1.0" encoding="utf-8"?>
<calcChain xmlns="http://schemas.openxmlformats.org/spreadsheetml/2006/main">
  <c r="B55" i="90" l="1"/>
  <c r="D55" i="90"/>
  <c r="E55" i="90"/>
  <c r="Q14" i="94" l="1"/>
  <c r="O14" i="94"/>
  <c r="K14" i="94"/>
  <c r="I14" i="94"/>
  <c r="Q13" i="94"/>
  <c r="O13" i="94"/>
  <c r="K13" i="94"/>
  <c r="I13" i="94"/>
  <c r="G15" i="76"/>
  <c r="F15" i="76"/>
  <c r="C31" i="103"/>
  <c r="C30" i="103"/>
  <c r="C29" i="103"/>
  <c r="C28" i="103"/>
  <c r="C26" i="103"/>
  <c r="A24" i="103"/>
  <c r="G15" i="103"/>
  <c r="F15" i="103"/>
  <c r="G16" i="98"/>
  <c r="F16" i="98"/>
  <c r="Q14" i="103"/>
  <c r="O14" i="103"/>
  <c r="K14" i="103"/>
  <c r="I14" i="103"/>
  <c r="Q13" i="103"/>
  <c r="O13" i="103"/>
  <c r="K13" i="103"/>
  <c r="I13" i="103"/>
  <c r="C33" i="76"/>
  <c r="C32" i="76"/>
  <c r="C31" i="76"/>
  <c r="C30" i="76"/>
  <c r="C28" i="76"/>
  <c r="A26" i="76"/>
  <c r="C32" i="98"/>
  <c r="C31" i="98"/>
  <c r="C30" i="98"/>
  <c r="C29" i="98"/>
  <c r="C27" i="98"/>
  <c r="A25" i="98"/>
  <c r="A18" i="90"/>
  <c r="C25" i="90"/>
  <c r="C24" i="90"/>
  <c r="C23" i="90"/>
  <c r="C22" i="90"/>
  <c r="C20" i="90"/>
  <c r="C25" i="108"/>
  <c r="C24" i="108"/>
  <c r="C23" i="108"/>
  <c r="C22" i="108"/>
  <c r="C20" i="108"/>
  <c r="A18" i="108"/>
  <c r="C26" i="101"/>
  <c r="C25" i="101"/>
  <c r="C24" i="101"/>
  <c r="C23" i="101"/>
  <c r="A18" i="101"/>
  <c r="C26" i="95"/>
  <c r="C25" i="95"/>
  <c r="C24" i="95"/>
  <c r="C23" i="95"/>
  <c r="C21" i="95"/>
  <c r="A19" i="95"/>
  <c r="Q14" i="95"/>
  <c r="O14" i="95"/>
  <c r="K14" i="95"/>
  <c r="I14" i="95"/>
  <c r="Q13" i="95"/>
  <c r="O13" i="95"/>
  <c r="K13" i="95"/>
  <c r="I13" i="95"/>
  <c r="Q14" i="76"/>
  <c r="O14" i="76"/>
  <c r="K14" i="76"/>
  <c r="I14" i="76"/>
  <c r="Q13" i="76"/>
  <c r="O13" i="76"/>
  <c r="K13" i="76"/>
  <c r="I13" i="76"/>
  <c r="Q14" i="98"/>
  <c r="O14" i="98"/>
  <c r="K14" i="98"/>
  <c r="I14" i="98"/>
  <c r="Q13" i="98"/>
  <c r="O13" i="98"/>
  <c r="K13" i="98"/>
  <c r="I13" i="98"/>
  <c r="Q14" i="90"/>
  <c r="O14" i="90"/>
  <c r="K14" i="90"/>
  <c r="I14" i="90"/>
  <c r="Q13" i="90"/>
  <c r="O13" i="90"/>
  <c r="K13" i="90"/>
  <c r="I13" i="90"/>
  <c r="Q14" i="108"/>
  <c r="O14" i="108"/>
  <c r="K14" i="108"/>
  <c r="I14" i="108"/>
  <c r="Q13" i="108"/>
  <c r="O13" i="108"/>
  <c r="K13" i="108"/>
  <c r="I13" i="108"/>
  <c r="Q14" i="101"/>
  <c r="O14" i="101"/>
  <c r="K14" i="101"/>
  <c r="I14" i="101"/>
  <c r="Q13" i="101"/>
  <c r="O13" i="101"/>
  <c r="K13" i="101"/>
  <c r="I13" i="101"/>
  <c r="Q14" i="89"/>
  <c r="O14" i="89"/>
  <c r="K14" i="89"/>
  <c r="I14" i="89"/>
  <c r="Q13" i="89"/>
  <c r="O13" i="89"/>
  <c r="K13" i="89"/>
  <c r="I13" i="89"/>
  <c r="C27" i="89"/>
  <c r="C26" i="89"/>
  <c r="C25" i="89"/>
  <c r="C24" i="89"/>
  <c r="C22" i="89"/>
  <c r="A20" i="89"/>
  <c r="A18" i="88"/>
  <c r="C25" i="88"/>
  <c r="C24" i="88"/>
  <c r="C23" i="88"/>
  <c r="C22" i="88"/>
  <c r="C20" i="88"/>
  <c r="C25" i="69"/>
  <c r="C24" i="69"/>
  <c r="C23" i="69"/>
  <c r="C22" i="69"/>
  <c r="C42" i="109"/>
  <c r="C41" i="109"/>
  <c r="C40" i="109"/>
  <c r="C39" i="109"/>
  <c r="C26" i="99"/>
  <c r="C25" i="99"/>
  <c r="C24" i="99"/>
  <c r="C23" i="99"/>
  <c r="Q14" i="88"/>
  <c r="O14" i="88"/>
  <c r="K14" i="88"/>
  <c r="I14" i="88"/>
  <c r="Q13" i="88"/>
  <c r="O13" i="88"/>
  <c r="K13" i="88"/>
  <c r="I13" i="88"/>
  <c r="C25" i="93"/>
  <c r="C24" i="93"/>
  <c r="C23" i="93"/>
  <c r="C22" i="93"/>
  <c r="C20" i="93"/>
  <c r="Q14" i="93" l="1"/>
  <c r="O14" i="93"/>
  <c r="K14" i="93"/>
  <c r="I14" i="93"/>
  <c r="Q13" i="93"/>
  <c r="O13" i="93"/>
  <c r="K13" i="93"/>
  <c r="I13" i="93"/>
  <c r="Q14" i="99" l="1"/>
  <c r="O14" i="99"/>
  <c r="K14" i="99"/>
  <c r="I14" i="99"/>
  <c r="Q13" i="99"/>
  <c r="O13" i="99"/>
  <c r="K13" i="99"/>
  <c r="I13" i="99"/>
  <c r="Q14" i="109"/>
  <c r="O14" i="109"/>
  <c r="K14" i="109"/>
  <c r="I14" i="109"/>
  <c r="Q13" i="109"/>
  <c r="O13" i="109"/>
  <c r="K13" i="109"/>
  <c r="I13" i="109"/>
  <c r="Q14" i="69" l="1"/>
  <c r="O14" i="69"/>
  <c r="Q13" i="69"/>
  <c r="O13" i="69"/>
  <c r="G7" i="110" l="1"/>
  <c r="F7" i="110"/>
  <c r="F6" i="110"/>
  <c r="E52" i="110"/>
  <c r="D52" i="110"/>
  <c r="B52" i="110"/>
  <c r="K14" i="110"/>
  <c r="I14" i="110"/>
  <c r="E53" i="109"/>
  <c r="A34" i="109"/>
  <c r="G6" i="109"/>
  <c r="F6" i="109"/>
  <c r="H8" i="106" l="1"/>
  <c r="E57" i="108" l="1"/>
  <c r="D57" i="108"/>
  <c r="B57" i="108"/>
  <c r="G7" i="108"/>
  <c r="F7" i="108"/>
  <c r="G6" i="108"/>
  <c r="F6" i="108"/>
  <c r="D4" i="107"/>
  <c r="C4" i="107"/>
  <c r="B4" i="107"/>
  <c r="A4" i="107"/>
  <c r="G22" i="106" l="1"/>
  <c r="G15" i="106"/>
  <c r="G12" i="106"/>
  <c r="G11" i="106"/>
  <c r="G10" i="106"/>
  <c r="G32" i="106"/>
  <c r="G31" i="106"/>
  <c r="H25" i="106"/>
  <c r="H24" i="106"/>
  <c r="H23" i="106"/>
  <c r="H22" i="106"/>
  <c r="H21" i="106"/>
  <c r="H20" i="106"/>
  <c r="H19" i="106"/>
  <c r="H18" i="106"/>
  <c r="H17" i="106"/>
  <c r="H16" i="106"/>
  <c r="H15" i="106"/>
  <c r="H14" i="106"/>
  <c r="H13" i="106"/>
  <c r="H12" i="106"/>
  <c r="H11" i="106"/>
  <c r="H10" i="106"/>
  <c r="H9" i="106"/>
  <c r="C26" i="87" l="1"/>
  <c r="C25" i="87"/>
  <c r="C24" i="87"/>
  <c r="C23" i="87"/>
  <c r="C22" i="87"/>
  <c r="C21" i="87"/>
  <c r="C20" i="87"/>
  <c r="A18" i="87"/>
  <c r="A18" i="93"/>
  <c r="E55" i="103" l="1"/>
  <c r="D55" i="103"/>
  <c r="B55" i="103"/>
  <c r="E59" i="102"/>
  <c r="D59" i="102"/>
  <c r="B59" i="102"/>
  <c r="K14" i="102"/>
  <c r="I14" i="102"/>
  <c r="G7" i="102"/>
  <c r="F7" i="102"/>
  <c r="G6" i="102"/>
  <c r="F6" i="102"/>
  <c r="E60" i="101"/>
  <c r="D60" i="101"/>
  <c r="B60" i="101"/>
  <c r="G7" i="101"/>
  <c r="F7" i="101"/>
  <c r="G6" i="101"/>
  <c r="F6" i="101"/>
  <c r="K14" i="97"/>
  <c r="I14" i="97"/>
  <c r="K14" i="43"/>
  <c r="I14" i="43"/>
  <c r="K14" i="73"/>
  <c r="I14" i="73"/>
  <c r="K14" i="100"/>
  <c r="I14" i="100"/>
  <c r="K14" i="92"/>
  <c r="I14" i="92"/>
  <c r="K14" i="87"/>
  <c r="I14" i="87"/>
  <c r="K13" i="87"/>
  <c r="I13" i="87"/>
  <c r="K14" i="69"/>
  <c r="I14" i="69"/>
  <c r="K13" i="69"/>
  <c r="I13" i="69"/>
  <c r="E59" i="100" l="1"/>
  <c r="D59" i="100"/>
  <c r="B59" i="100"/>
  <c r="G7" i="100"/>
  <c r="F7" i="100"/>
  <c r="G6" i="100"/>
  <c r="F6" i="100"/>
  <c r="E59" i="99" l="1"/>
  <c r="D59" i="99"/>
  <c r="B59" i="99"/>
  <c r="A18" i="99"/>
  <c r="G7" i="99"/>
  <c r="F7" i="99"/>
  <c r="G6" i="99"/>
  <c r="F6" i="99"/>
  <c r="E55" i="98" l="1"/>
  <c r="D55" i="98"/>
  <c r="B55" i="98"/>
  <c r="G6" i="89"/>
  <c r="A13" i="2" l="1"/>
  <c r="G7" i="97" l="1"/>
  <c r="F7" i="97"/>
  <c r="G6" i="97"/>
  <c r="F6" i="97"/>
  <c r="E58" i="97"/>
  <c r="D58" i="97"/>
  <c r="A58" i="97"/>
  <c r="E55" i="95" l="1"/>
  <c r="D55" i="95"/>
  <c r="A55" i="95"/>
  <c r="G7" i="95"/>
  <c r="F7" i="95"/>
  <c r="G6" i="95"/>
  <c r="F6" i="95"/>
  <c r="E58" i="94"/>
  <c r="D58" i="94"/>
  <c r="A58" i="94"/>
  <c r="G7" i="94"/>
  <c r="F7" i="94"/>
  <c r="G6" i="94"/>
  <c r="F6" i="94"/>
  <c r="E55" i="93" l="1"/>
  <c r="D55" i="93"/>
  <c r="B55" i="93"/>
  <c r="G7" i="93"/>
  <c r="F7" i="93"/>
  <c r="G6" i="93"/>
  <c r="F6" i="93"/>
  <c r="E59" i="92" l="1"/>
  <c r="D59" i="92"/>
  <c r="A59" i="92"/>
  <c r="G7" i="92"/>
  <c r="F7" i="92"/>
  <c r="G6" i="92"/>
  <c r="F6" i="92"/>
  <c r="G7" i="90" l="1"/>
  <c r="F7" i="90"/>
  <c r="G6" i="90"/>
  <c r="F6" i="90"/>
  <c r="E53" i="89"/>
  <c r="D53" i="89"/>
  <c r="B53" i="89"/>
  <c r="G7" i="89"/>
  <c r="F7" i="89"/>
  <c r="F6" i="89"/>
  <c r="E56" i="88"/>
  <c r="D56" i="88"/>
  <c r="B56" i="88"/>
  <c r="G7" i="88"/>
  <c r="F7" i="88"/>
  <c r="G6" i="88"/>
  <c r="F6" i="88"/>
  <c r="E56" i="87" l="1"/>
  <c r="D56" i="87"/>
  <c r="B56" i="87"/>
  <c r="G7" i="87"/>
  <c r="F7" i="87"/>
  <c r="G6" i="87"/>
  <c r="F6" i="87"/>
  <c r="P9" i="2" l="1"/>
  <c r="C23" i="2" l="1"/>
  <c r="M9" i="107" l="1"/>
  <c r="L9" i="107"/>
  <c r="K9" i="107"/>
  <c r="N9" i="107"/>
  <c r="C13" i="2"/>
  <c r="G6" i="69" l="1"/>
  <c r="E58" i="76"/>
  <c r="D58" i="76"/>
  <c r="B58" i="76"/>
  <c r="E59" i="73" l="1"/>
  <c r="D59" i="73"/>
  <c r="B59" i="73"/>
  <c r="G7" i="73"/>
  <c r="F7" i="73"/>
  <c r="G6" i="73"/>
  <c r="F6" i="73"/>
  <c r="E58" i="69" l="1"/>
  <c r="A17" i="69"/>
  <c r="G7" i="69"/>
  <c r="F7" i="69"/>
  <c r="F6" i="69"/>
  <c r="C5" i="2" l="1"/>
  <c r="C6" i="2"/>
  <c r="D13" i="2" l="1"/>
  <c r="L10" i="93"/>
  <c r="B14" i="93" s="1"/>
  <c r="R10" i="93"/>
  <c r="P8" i="94"/>
  <c r="J8" i="103"/>
  <c r="P8" i="98"/>
  <c r="P8" i="89"/>
  <c r="P10" i="88"/>
  <c r="J8" i="76"/>
  <c r="J8" i="94"/>
  <c r="J10" i="95"/>
  <c r="P10" i="76"/>
  <c r="J8" i="98"/>
  <c r="J10" i="108"/>
  <c r="P10" i="101"/>
  <c r="J8" i="89"/>
  <c r="P8" i="88"/>
  <c r="J10" i="89"/>
  <c r="P10" i="103"/>
  <c r="P8" i="90"/>
  <c r="J10" i="94"/>
  <c r="J8" i="95"/>
  <c r="P10" i="108"/>
  <c r="J10" i="88"/>
  <c r="P10" i="94"/>
  <c r="J10" i="76"/>
  <c r="P10" i="98"/>
  <c r="J8" i="90"/>
  <c r="J10" i="101"/>
  <c r="P10" i="89"/>
  <c r="J8" i="88"/>
  <c r="J8" i="108"/>
  <c r="P8" i="103"/>
  <c r="J10" i="103"/>
  <c r="P8" i="95"/>
  <c r="L10" i="98"/>
  <c r="B12" i="98" s="1"/>
  <c r="P8" i="108"/>
  <c r="J10" i="98"/>
  <c r="P10" i="90"/>
  <c r="J10" i="90"/>
  <c r="P8" i="76"/>
  <c r="P8" i="101"/>
  <c r="P10" i="95"/>
  <c r="J8" i="101"/>
  <c r="J10" i="69"/>
  <c r="J10" i="93"/>
  <c r="P10" i="99"/>
  <c r="J8" i="93"/>
  <c r="P10" i="109"/>
  <c r="P8" i="93"/>
  <c r="J10" i="109"/>
  <c r="P10" i="93"/>
  <c r="J10" i="99"/>
  <c r="P10" i="69"/>
  <c r="P8" i="99"/>
  <c r="P8" i="109"/>
  <c r="J8" i="99"/>
  <c r="J8" i="109"/>
  <c r="P8" i="69"/>
  <c r="J10" i="110"/>
  <c r="J8" i="110"/>
  <c r="L15" i="110"/>
  <c r="J10" i="97"/>
  <c r="J10" i="102"/>
  <c r="J8" i="102"/>
  <c r="L15" i="97"/>
  <c r="L15" i="43"/>
  <c r="L15" i="73"/>
  <c r="L15" i="100"/>
  <c r="L15" i="92"/>
  <c r="J10" i="100"/>
  <c r="J8" i="100"/>
  <c r="D5" i="2"/>
  <c r="B23" i="109" s="1"/>
  <c r="J8" i="97"/>
  <c r="J10" i="92"/>
  <c r="J8" i="92"/>
  <c r="J8" i="43"/>
  <c r="J10" i="87"/>
  <c r="J8" i="87"/>
  <c r="J10" i="43"/>
  <c r="J10" i="73"/>
  <c r="J8" i="73"/>
  <c r="D10" i="106" l="1"/>
  <c r="A10" i="106" s="1"/>
  <c r="D31" i="2"/>
  <c r="D30" i="2"/>
  <c r="D29" i="2"/>
  <c r="D28" i="2"/>
  <c r="D27" i="2"/>
  <c r="E59" i="43" l="1"/>
  <c r="D59" i="43"/>
  <c r="B59" i="43"/>
  <c r="G7" i="43"/>
  <c r="F7" i="43"/>
  <c r="G6" i="43"/>
  <c r="F6" i="43"/>
  <c r="J34" i="2" l="1"/>
  <c r="C7" i="2"/>
  <c r="C8" i="2"/>
  <c r="C9" i="2"/>
  <c r="C10" i="2"/>
  <c r="L10" i="95" l="1"/>
  <c r="B16" i="95" s="1"/>
  <c r="R10" i="76"/>
  <c r="L10" i="108"/>
  <c r="R10" i="101"/>
  <c r="R10" i="103"/>
  <c r="R10" i="94"/>
  <c r="L10" i="76"/>
  <c r="R10" i="98"/>
  <c r="L10" i="101"/>
  <c r="R10" i="89"/>
  <c r="L10" i="103"/>
  <c r="L10" i="94"/>
  <c r="B14" i="94" s="1"/>
  <c r="R10" i="90"/>
  <c r="L10" i="89"/>
  <c r="B17" i="89" s="1"/>
  <c r="R10" i="88"/>
  <c r="R10" i="95"/>
  <c r="L10" i="90"/>
  <c r="R10" i="108"/>
  <c r="L10" i="88"/>
  <c r="B14" i="88" s="1"/>
  <c r="R10" i="99"/>
  <c r="L10" i="109"/>
  <c r="L10" i="69"/>
  <c r="R10" i="109"/>
  <c r="L10" i="99"/>
  <c r="R10" i="69"/>
  <c r="L15" i="102"/>
  <c r="B12" i="102" s="1"/>
  <c r="L15" i="87"/>
  <c r="I11" i="87" s="1"/>
  <c r="P36" i="2"/>
  <c r="R11" i="109" s="1"/>
  <c r="P27" i="2"/>
  <c r="J8" i="69"/>
  <c r="P18" i="2"/>
  <c r="R11" i="69" s="1"/>
  <c r="P45" i="2"/>
  <c r="P34" i="2"/>
  <c r="R9" i="109" s="1"/>
  <c r="R8" i="109" s="1"/>
  <c r="D6" i="2"/>
  <c r="D15" i="106" s="1"/>
  <c r="A15" i="106" s="1"/>
  <c r="K36" i="2"/>
  <c r="I34" i="2"/>
  <c r="D7" i="2"/>
  <c r="D8" i="2"/>
  <c r="K45" i="2"/>
  <c r="D9" i="2"/>
  <c r="D8" i="106" s="1"/>
  <c r="A8" i="106" s="1"/>
  <c r="B15" i="110" s="1"/>
  <c r="D10" i="2"/>
  <c r="I7" i="2"/>
  <c r="K9" i="2"/>
  <c r="R14" i="69" l="1"/>
  <c r="R13" i="69"/>
  <c r="L11" i="103"/>
  <c r="L11" i="94"/>
  <c r="L11" i="98"/>
  <c r="L11" i="89"/>
  <c r="L11" i="108"/>
  <c r="L11" i="90"/>
  <c r="L11" i="88"/>
  <c r="L11" i="95"/>
  <c r="L11" i="76"/>
  <c r="L11" i="101"/>
  <c r="L11" i="93"/>
  <c r="L11" i="99"/>
  <c r="R11" i="94"/>
  <c r="R11" i="98"/>
  <c r="R11" i="89"/>
  <c r="R11" i="90"/>
  <c r="R11" i="88"/>
  <c r="R11" i="95"/>
  <c r="R11" i="108"/>
  <c r="R11" i="76"/>
  <c r="R11" i="101"/>
  <c r="R11" i="103"/>
  <c r="R11" i="93"/>
  <c r="L11" i="109"/>
  <c r="R11" i="99"/>
  <c r="R14" i="109"/>
  <c r="R13" i="109"/>
  <c r="G38" i="109"/>
  <c r="E35" i="109"/>
  <c r="E36" i="109"/>
  <c r="E37" i="109"/>
  <c r="E38" i="109"/>
  <c r="F35" i="109"/>
  <c r="F36" i="109"/>
  <c r="F37" i="109"/>
  <c r="F38" i="109"/>
  <c r="G35" i="109"/>
  <c r="G36" i="109"/>
  <c r="G37" i="109"/>
  <c r="L11" i="110"/>
  <c r="B13" i="110"/>
  <c r="D14" i="106"/>
  <c r="A14" i="106" s="1"/>
  <c r="D9" i="106"/>
  <c r="A9" i="106" s="1"/>
  <c r="D16" i="106"/>
  <c r="A16" i="106" s="1"/>
  <c r="D23" i="106"/>
  <c r="A23" i="106" s="1"/>
  <c r="D25" i="106"/>
  <c r="A25" i="106" s="1"/>
  <c r="D18" i="106"/>
  <c r="A18" i="106" s="1"/>
  <c r="D24" i="106"/>
  <c r="A24" i="106" s="1"/>
  <c r="D22" i="106"/>
  <c r="A22" i="106" s="1"/>
  <c r="D12" i="106"/>
  <c r="A12" i="106" s="1"/>
  <c r="D11" i="106"/>
  <c r="A11" i="106" s="1"/>
  <c r="D21" i="106"/>
  <c r="A21" i="106" s="1"/>
  <c r="D13" i="106"/>
  <c r="A13" i="106" s="1"/>
  <c r="C31" i="106" s="1"/>
  <c r="A31" i="106" s="1"/>
  <c r="D17" i="106"/>
  <c r="A17" i="106" s="1"/>
  <c r="D20" i="106"/>
  <c r="A20" i="106" s="1"/>
  <c r="D19" i="106"/>
  <c r="A19" i="106" s="1"/>
  <c r="C32" i="106" s="1"/>
  <c r="A32" i="106" s="1"/>
  <c r="A33" i="107"/>
  <c r="L11" i="97"/>
  <c r="L11" i="102"/>
  <c r="L11" i="100"/>
  <c r="L11" i="92"/>
  <c r="L11" i="87"/>
  <c r="L11" i="73"/>
  <c r="L11" i="69"/>
  <c r="I45" i="2"/>
  <c r="I9" i="2"/>
  <c r="G34" i="2"/>
  <c r="I36" i="2"/>
  <c r="R13" i="101" l="1"/>
  <c r="R14" i="101"/>
  <c r="R14" i="94"/>
  <c r="R13" i="94"/>
  <c r="L14" i="108"/>
  <c r="L13" i="108"/>
  <c r="R13" i="98"/>
  <c r="R14" i="98"/>
  <c r="R13" i="76"/>
  <c r="R14" i="76"/>
  <c r="L14" i="99"/>
  <c r="L13" i="99"/>
  <c r="L13" i="89"/>
  <c r="L14" i="89"/>
  <c r="R14" i="103"/>
  <c r="R13" i="103"/>
  <c r="R14" i="108"/>
  <c r="R13" i="108"/>
  <c r="L14" i="93"/>
  <c r="L13" i="93"/>
  <c r="L14" i="98"/>
  <c r="L13" i="98"/>
  <c r="R13" i="95"/>
  <c r="R14" i="95"/>
  <c r="L14" i="101"/>
  <c r="L13" i="101"/>
  <c r="L14" i="94"/>
  <c r="L13" i="94"/>
  <c r="R14" i="99"/>
  <c r="R13" i="99"/>
  <c r="R14" i="88"/>
  <c r="R13" i="88"/>
  <c r="L14" i="76"/>
  <c r="L13" i="76"/>
  <c r="L14" i="103"/>
  <c r="L13" i="103"/>
  <c r="L14" i="90"/>
  <c r="L13" i="90"/>
  <c r="L14" i="109"/>
  <c r="D42" i="109" s="1"/>
  <c r="L13" i="109"/>
  <c r="R13" i="90"/>
  <c r="R14" i="90"/>
  <c r="L14" i="95"/>
  <c r="L13" i="95"/>
  <c r="G22" i="69"/>
  <c r="G24" i="69"/>
  <c r="R13" i="93"/>
  <c r="R14" i="93"/>
  <c r="R13" i="89"/>
  <c r="R14" i="89"/>
  <c r="L13" i="88"/>
  <c r="L14" i="88"/>
  <c r="G23" i="69"/>
  <c r="G25" i="69"/>
  <c r="L14" i="110"/>
  <c r="L13" i="110"/>
  <c r="B16" i="110"/>
  <c r="B14" i="110"/>
  <c r="D40" i="109"/>
  <c r="D39" i="109"/>
  <c r="D41" i="109"/>
  <c r="L14" i="102"/>
  <c r="L13" i="102"/>
  <c r="L13" i="97"/>
  <c r="L14" i="97"/>
  <c r="L13" i="69"/>
  <c r="D22" i="69" s="1"/>
  <c r="L14" i="69"/>
  <c r="L14" i="73"/>
  <c r="L13" i="73"/>
  <c r="L14" i="92"/>
  <c r="L13" i="92"/>
  <c r="L14" i="100"/>
  <c r="L13" i="100"/>
  <c r="L14" i="87"/>
  <c r="L13" i="87"/>
  <c r="J7" i="2"/>
  <c r="F23" i="93" l="1"/>
  <c r="G25" i="93"/>
  <c r="F25" i="93"/>
  <c r="G23" i="93"/>
  <c r="G24" i="88"/>
  <c r="G22" i="88"/>
  <c r="F22" i="88"/>
  <c r="F24" i="88"/>
  <c r="G26" i="95"/>
  <c r="F26" i="95"/>
  <c r="F24" i="95"/>
  <c r="G24" i="95"/>
  <c r="G30" i="103"/>
  <c r="F30" i="103"/>
  <c r="G28" i="103"/>
  <c r="F28" i="103"/>
  <c r="G32" i="98"/>
  <c r="G30" i="98"/>
  <c r="F30" i="98"/>
  <c r="F32" i="98"/>
  <c r="E24" i="90"/>
  <c r="E22" i="90"/>
  <c r="D22" i="90"/>
  <c r="D24" i="90"/>
  <c r="G24" i="93"/>
  <c r="F24" i="93"/>
  <c r="G22" i="93"/>
  <c r="F22" i="93"/>
  <c r="G25" i="88"/>
  <c r="F23" i="88"/>
  <c r="G23" i="88"/>
  <c r="F25" i="88"/>
  <c r="G25" i="95"/>
  <c r="F25" i="95"/>
  <c r="G23" i="95"/>
  <c r="F23" i="95"/>
  <c r="G31" i="103"/>
  <c r="F29" i="103"/>
  <c r="F31" i="103"/>
  <c r="G29" i="103"/>
  <c r="G31" i="98"/>
  <c r="F31" i="98"/>
  <c r="G29" i="98"/>
  <c r="F29" i="98"/>
  <c r="E25" i="90"/>
  <c r="D25" i="90"/>
  <c r="D23" i="90"/>
  <c r="E23" i="90"/>
  <c r="F26" i="99"/>
  <c r="F24" i="99"/>
  <c r="G24" i="99"/>
  <c r="G26" i="99"/>
  <c r="E32" i="98"/>
  <c r="D30" i="98"/>
  <c r="E30" i="98"/>
  <c r="D32" i="98"/>
  <c r="E25" i="108"/>
  <c r="D23" i="108"/>
  <c r="E23" i="108"/>
  <c r="D25" i="108"/>
  <c r="D31" i="98"/>
  <c r="E31" i="98"/>
  <c r="E29" i="98"/>
  <c r="D29" i="98"/>
  <c r="E25" i="88"/>
  <c r="D25" i="88"/>
  <c r="D23" i="88"/>
  <c r="E23" i="88"/>
  <c r="D25" i="95"/>
  <c r="E25" i="95"/>
  <c r="E23" i="95"/>
  <c r="D23" i="95"/>
  <c r="E30" i="103"/>
  <c r="E28" i="103"/>
  <c r="D28" i="103"/>
  <c r="D30" i="103"/>
  <c r="D24" i="93"/>
  <c r="E24" i="93"/>
  <c r="E22" i="93"/>
  <c r="D22" i="93"/>
  <c r="D25" i="99"/>
  <c r="E25" i="99"/>
  <c r="E23" i="99"/>
  <c r="D23" i="99"/>
  <c r="E24" i="88"/>
  <c r="D24" i="88"/>
  <c r="E22" i="88"/>
  <c r="D22" i="88"/>
  <c r="E26" i="95"/>
  <c r="D26" i="95"/>
  <c r="E24" i="95"/>
  <c r="D24" i="95"/>
  <c r="E31" i="103"/>
  <c r="D29" i="103"/>
  <c r="E29" i="103"/>
  <c r="D31" i="103"/>
  <c r="E25" i="93"/>
  <c r="D25" i="93"/>
  <c r="E23" i="93"/>
  <c r="D23" i="93"/>
  <c r="E26" i="99"/>
  <c r="D26" i="99"/>
  <c r="E24" i="99"/>
  <c r="D24" i="99"/>
  <c r="F25" i="99"/>
  <c r="G23" i="99"/>
  <c r="G25" i="99"/>
  <c r="F23" i="99"/>
  <c r="G27" i="89"/>
  <c r="F27" i="89"/>
  <c r="F25" i="89"/>
  <c r="G25" i="89"/>
  <c r="G25" i="90"/>
  <c r="F23" i="90"/>
  <c r="G23" i="90"/>
  <c r="F25" i="90"/>
  <c r="D32" i="76"/>
  <c r="E32" i="76"/>
  <c r="E30" i="76"/>
  <c r="D30" i="76"/>
  <c r="E25" i="101"/>
  <c r="E23" i="101"/>
  <c r="D23" i="101"/>
  <c r="D25" i="101"/>
  <c r="G24" i="108"/>
  <c r="F24" i="108"/>
  <c r="G22" i="108"/>
  <c r="F22" i="108"/>
  <c r="G33" i="76"/>
  <c r="F31" i="76"/>
  <c r="G31" i="76"/>
  <c r="F33" i="76"/>
  <c r="G26" i="101"/>
  <c r="F26" i="101"/>
  <c r="F24" i="101"/>
  <c r="G24" i="101"/>
  <c r="D24" i="108"/>
  <c r="E24" i="108"/>
  <c r="E22" i="108"/>
  <c r="D22" i="108"/>
  <c r="G26" i="89"/>
  <c r="F26" i="89"/>
  <c r="G24" i="89"/>
  <c r="F24" i="89"/>
  <c r="G24" i="90"/>
  <c r="F24" i="90"/>
  <c r="G22" i="90"/>
  <c r="F22" i="90"/>
  <c r="E33" i="76"/>
  <c r="D33" i="76"/>
  <c r="D31" i="76"/>
  <c r="E31" i="76"/>
  <c r="E26" i="101"/>
  <c r="D24" i="101"/>
  <c r="E24" i="101"/>
  <c r="D26" i="101"/>
  <c r="G25" i="108"/>
  <c r="G23" i="108"/>
  <c r="F23" i="108"/>
  <c r="F25" i="108"/>
  <c r="G32" i="76"/>
  <c r="F32" i="76"/>
  <c r="G30" i="76"/>
  <c r="F30" i="76"/>
  <c r="G25" i="101"/>
  <c r="F25" i="101"/>
  <c r="G23" i="101"/>
  <c r="F23" i="101"/>
  <c r="E26" i="89"/>
  <c r="D26" i="89"/>
  <c r="E24" i="89"/>
  <c r="D24" i="89"/>
  <c r="E27" i="89"/>
  <c r="D27" i="89"/>
  <c r="E25" i="89"/>
  <c r="D25" i="89"/>
  <c r="E25" i="69"/>
  <c r="F25" i="69"/>
  <c r="D25" i="69"/>
  <c r="E23" i="69"/>
  <c r="F23" i="69"/>
  <c r="D23" i="69"/>
  <c r="G24" i="87"/>
  <c r="F24" i="87"/>
  <c r="E24" i="87"/>
  <c r="D24" i="87"/>
  <c r="G21" i="87"/>
  <c r="F21" i="87"/>
  <c r="E21" i="87"/>
  <c r="D21" i="87"/>
  <c r="G26" i="87"/>
  <c r="F26" i="87"/>
  <c r="E26" i="87"/>
  <c r="D26" i="87"/>
  <c r="G25" i="87"/>
  <c r="F25" i="87"/>
  <c r="E25" i="87"/>
  <c r="D25" i="87"/>
  <c r="G23" i="87"/>
  <c r="F23" i="87"/>
  <c r="E23" i="87"/>
  <c r="D23" i="87"/>
  <c r="G22" i="87"/>
  <c r="F22" i="87"/>
  <c r="E22" i="87"/>
  <c r="D22" i="87"/>
  <c r="F24" i="69"/>
  <c r="F22" i="69"/>
  <c r="E22" i="69"/>
  <c r="D24" i="69"/>
  <c r="E24" i="69"/>
  <c r="P7" i="2"/>
  <c r="L9" i="69" s="1"/>
  <c r="L8" i="69" s="1"/>
  <c r="F21" i="69" l="1"/>
  <c r="E21" i="69"/>
  <c r="D21" i="69"/>
  <c r="F20" i="69"/>
  <c r="E20" i="69"/>
  <c r="D20" i="69"/>
  <c r="F19" i="69"/>
  <c r="E19" i="69"/>
  <c r="D19" i="69"/>
  <c r="F18" i="69"/>
  <c r="E18" i="69"/>
  <c r="D18" i="69"/>
  <c r="G7" i="2"/>
  <c r="J43" i="2"/>
  <c r="P43" i="2" s="1"/>
  <c r="R9" i="90" l="1"/>
  <c r="R8" i="90" s="1"/>
  <c r="R9" i="88"/>
  <c r="R8" i="88" s="1"/>
  <c r="R9" i="95"/>
  <c r="R8" i="95" s="1"/>
  <c r="R9" i="108"/>
  <c r="R8" i="108" s="1"/>
  <c r="R9" i="76"/>
  <c r="R8" i="76" s="1"/>
  <c r="R9" i="101"/>
  <c r="R8" i="101" s="1"/>
  <c r="R9" i="103"/>
  <c r="R8" i="103" s="1"/>
  <c r="R9" i="94"/>
  <c r="R8" i="94" s="1"/>
  <c r="R9" i="98"/>
  <c r="R8" i="98" s="1"/>
  <c r="R9" i="89"/>
  <c r="R8" i="89" s="1"/>
  <c r="R9" i="93"/>
  <c r="R8" i="93" s="1"/>
  <c r="L9" i="109"/>
  <c r="L8" i="109" s="1"/>
  <c r="D35" i="109" s="1"/>
  <c r="R9" i="99"/>
  <c r="R8" i="99" s="1"/>
  <c r="L11" i="43"/>
  <c r="D37" i="109" l="1"/>
  <c r="D38" i="109"/>
  <c r="D36" i="109"/>
  <c r="G27" i="103"/>
  <c r="G26" i="103"/>
  <c r="F26" i="103"/>
  <c r="F27" i="103"/>
  <c r="F22" i="99"/>
  <c r="F20" i="99"/>
  <c r="F21" i="99"/>
  <c r="G19" i="99"/>
  <c r="G20" i="99"/>
  <c r="G21" i="99"/>
  <c r="G22" i="99"/>
  <c r="F19" i="99"/>
  <c r="G29" i="76"/>
  <c r="F28" i="76"/>
  <c r="G28" i="76"/>
  <c r="F29" i="76"/>
  <c r="G21" i="108"/>
  <c r="F21" i="108"/>
  <c r="F20" i="108"/>
  <c r="G20" i="108"/>
  <c r="G21" i="101"/>
  <c r="F19" i="101"/>
  <c r="F20" i="101"/>
  <c r="G22" i="101"/>
  <c r="F21" i="101"/>
  <c r="G20" i="101"/>
  <c r="G19" i="101"/>
  <c r="F22" i="101"/>
  <c r="G21" i="93"/>
  <c r="G20" i="93"/>
  <c r="F20" i="93"/>
  <c r="F21" i="93"/>
  <c r="G22" i="95"/>
  <c r="F21" i="95"/>
  <c r="G21" i="95"/>
  <c r="F22" i="95"/>
  <c r="G22" i="89"/>
  <c r="F22" i="89"/>
  <c r="G23" i="89"/>
  <c r="F23" i="89"/>
  <c r="G21" i="88"/>
  <c r="F20" i="88"/>
  <c r="G20" i="88"/>
  <c r="F21" i="88"/>
  <c r="G28" i="98"/>
  <c r="F28" i="98"/>
  <c r="F27" i="98"/>
  <c r="G27" i="98"/>
  <c r="G21" i="90"/>
  <c r="F21" i="90"/>
  <c r="F20" i="90"/>
  <c r="G20" i="90"/>
  <c r="L14" i="43"/>
  <c r="L13" i="43"/>
  <c r="I16" i="2"/>
  <c r="K18" i="2"/>
  <c r="I18" i="2" s="1"/>
  <c r="K27" i="2"/>
  <c r="I27" i="2" s="1"/>
  <c r="I43" i="2"/>
  <c r="G43" i="2" s="1"/>
  <c r="I25" i="2"/>
  <c r="J25" i="2" l="1"/>
  <c r="P25" i="2" s="1"/>
  <c r="J16" i="2"/>
  <c r="P16" i="2" s="1"/>
  <c r="R9" i="69" s="1"/>
  <c r="R8" i="69" s="1"/>
  <c r="G20" i="69" l="1"/>
  <c r="G19" i="69"/>
  <c r="G18" i="69"/>
  <c r="G21" i="69"/>
  <c r="L9" i="101"/>
  <c r="L8" i="101" s="1"/>
  <c r="L9" i="98"/>
  <c r="L8" i="98" s="1"/>
  <c r="L9" i="90"/>
  <c r="L8" i="90" s="1"/>
  <c r="L9" i="88"/>
  <c r="L8" i="88" s="1"/>
  <c r="L9" i="76"/>
  <c r="L8" i="76" s="1"/>
  <c r="L9" i="95"/>
  <c r="L8" i="95" s="1"/>
  <c r="L9" i="108"/>
  <c r="L8" i="108" s="1"/>
  <c r="L9" i="103"/>
  <c r="L8" i="103" s="1"/>
  <c r="L9" i="94"/>
  <c r="L8" i="94" s="1"/>
  <c r="L9" i="89"/>
  <c r="L8" i="89" s="1"/>
  <c r="L9" i="93"/>
  <c r="L8" i="93" s="1"/>
  <c r="L9" i="99"/>
  <c r="L8" i="99" s="1"/>
  <c r="L9" i="110"/>
  <c r="L8" i="110" s="1"/>
  <c r="L9" i="102"/>
  <c r="L8" i="102" s="1"/>
  <c r="L9" i="100"/>
  <c r="L8" i="100" s="1"/>
  <c r="L9" i="92"/>
  <c r="L8" i="92" s="1"/>
  <c r="L9" i="97"/>
  <c r="L8" i="97" s="1"/>
  <c r="L9" i="87"/>
  <c r="L8" i="87" s="1"/>
  <c r="G16" i="2"/>
  <c r="L9" i="73"/>
  <c r="L8" i="73" s="1"/>
  <c r="G25" i="2"/>
  <c r="L9" i="43"/>
  <c r="L8" i="43" s="1"/>
  <c r="E21" i="93" l="1"/>
  <c r="D20" i="93"/>
  <c r="D21" i="93"/>
  <c r="E20" i="93"/>
  <c r="E21" i="90"/>
  <c r="D20" i="90"/>
  <c r="E20" i="90"/>
  <c r="D21" i="90"/>
  <c r="E28" i="98"/>
  <c r="D28" i="98"/>
  <c r="E27" i="98"/>
  <c r="D27" i="98"/>
  <c r="E22" i="101"/>
  <c r="D19" i="101"/>
  <c r="E21" i="101"/>
  <c r="E20" i="101"/>
  <c r="D20" i="101"/>
  <c r="E19" i="101"/>
  <c r="D21" i="101"/>
  <c r="D22" i="101"/>
  <c r="E21" i="88"/>
  <c r="D20" i="88"/>
  <c r="E20" i="88"/>
  <c r="D21" i="88"/>
  <c r="E27" i="103"/>
  <c r="D26" i="103"/>
  <c r="E26" i="103"/>
  <c r="D27" i="103"/>
  <c r="E21" i="108"/>
  <c r="D21" i="108"/>
  <c r="E20" i="108"/>
  <c r="D20" i="108"/>
  <c r="E22" i="99"/>
  <c r="E19" i="99"/>
  <c r="E20" i="99"/>
  <c r="E21" i="99"/>
  <c r="D21" i="99"/>
  <c r="D19" i="99"/>
  <c r="D20" i="99"/>
  <c r="D22" i="99"/>
  <c r="E22" i="95"/>
  <c r="D22" i="95"/>
  <c r="D21" i="95"/>
  <c r="E21" i="95"/>
  <c r="E29" i="76"/>
  <c r="D28" i="76"/>
  <c r="E28" i="76"/>
  <c r="D29" i="76"/>
  <c r="E23" i="89"/>
  <c r="D23" i="89"/>
  <c r="E22" i="89"/>
  <c r="D22" i="89"/>
  <c r="G20" i="87"/>
  <c r="F20" i="87"/>
  <c r="E20" i="87"/>
  <c r="D20" i="87"/>
  <c r="B13" i="2"/>
</calcChain>
</file>

<file path=xl/comments1.xml><?xml version="1.0" encoding="utf-8"?>
<comments xmlns="http://schemas.openxmlformats.org/spreadsheetml/2006/main">
  <authors>
    <author>さすけい</author>
  </authors>
  <commentList>
    <comment ref="F6" authorId="0" shapeId="0">
      <text>
        <r>
          <rPr>
            <b/>
            <sz val="9"/>
            <color indexed="81"/>
            <rFont val="ＭＳ Ｐゴシック"/>
            <family val="3"/>
            <charset val="128"/>
          </rPr>
          <t>さすけい:</t>
        </r>
        <r>
          <rPr>
            <sz val="9"/>
            <color indexed="81"/>
            <rFont val="ＭＳ Ｐゴシック"/>
            <family val="3"/>
            <charset val="128"/>
          </rPr>
          <t xml:space="preserve">
重刀剣練達無くても
エラい数字になってる</t>
        </r>
      </text>
    </comment>
    <comment ref="A22" authorId="0" shapeId="0">
      <text>
        <r>
          <rPr>
            <b/>
            <sz val="9"/>
            <color indexed="81"/>
            <rFont val="ＭＳ Ｐゴシック"/>
            <family val="3"/>
            <charset val="128"/>
          </rPr>
          <t>さすけい:</t>
        </r>
        <r>
          <rPr>
            <sz val="9"/>
            <color indexed="81"/>
            <rFont val="ＭＳ Ｐゴシック"/>
            <family val="3"/>
            <charset val="128"/>
          </rPr>
          <t xml:space="preserve">
こいつも
パワーボーナスだったの
今頃気付きました・・・</t>
        </r>
      </text>
    </comment>
  </commentList>
</comments>
</file>

<file path=xl/comments2.xml><?xml version="1.0" encoding="utf-8"?>
<comments xmlns="http://schemas.openxmlformats.org/spreadsheetml/2006/main">
  <authors>
    <author>さすけい</author>
  </authors>
  <commentList>
    <comment ref="H11" authorId="0" shapeId="0">
      <text>
        <r>
          <rPr>
            <b/>
            <sz val="9"/>
            <color indexed="81"/>
            <rFont val="ＭＳ Ｐゴシック"/>
            <family val="3"/>
            <charset val="128"/>
          </rPr>
          <t>さすけい:</t>
        </r>
        <r>
          <rPr>
            <sz val="9"/>
            <color indexed="81"/>
            <rFont val="ＭＳ Ｐゴシック"/>
            <family val="3"/>
            <charset val="128"/>
          </rPr>
          <t xml:space="preserve">
そういや
今回は銀にしてないんで？</t>
        </r>
      </text>
    </comment>
  </commentList>
</comments>
</file>

<file path=xl/comments3.xml><?xml version="1.0" encoding="utf-8"?>
<comments xmlns="http://schemas.openxmlformats.org/spreadsheetml/2006/main">
  <authors>
    <author>さすけい</author>
  </authors>
  <commentList>
    <comment ref="A30" authorId="0" shapeId="0">
      <text>
        <r>
          <rPr>
            <b/>
            <sz val="9"/>
            <color indexed="81"/>
            <rFont val="ＭＳ Ｐゴシック"/>
            <family val="3"/>
            <charset val="128"/>
          </rPr>
          <t>さすけい:</t>
        </r>
        <r>
          <rPr>
            <sz val="9"/>
            <color indexed="81"/>
            <rFont val="ＭＳ Ｐゴシック"/>
            <family val="3"/>
            <charset val="128"/>
          </rPr>
          <t xml:space="preserve">
実際のプレイと手順が異なりますが、
検証の結果このパターンが最も
融通が効くと判断しました</t>
        </r>
      </text>
    </comment>
  </commentList>
</comments>
</file>

<file path=xl/comments4.xml><?xml version="1.0" encoding="utf-8"?>
<comments xmlns="http://schemas.openxmlformats.org/spreadsheetml/2006/main">
  <authors>
    <author>さすけい</author>
  </authors>
  <commentList>
    <comment ref="B12" authorId="0" shapeId="0">
      <text>
        <r>
          <rPr>
            <b/>
            <sz val="9"/>
            <color indexed="81"/>
            <rFont val="ＭＳ Ｐゴシック"/>
            <family val="3"/>
            <charset val="128"/>
          </rPr>
          <t>さすけい:</t>
        </r>
        <r>
          <rPr>
            <sz val="9"/>
            <color indexed="81"/>
            <rFont val="ＭＳ Ｐゴシック"/>
            <family val="3"/>
            <charset val="128"/>
          </rPr>
          <t xml:space="preserve">
この類の効果は
和訳が不正確！
ディヴァインチャレンジも含めて
実は攻撃前にダメージが飛ぶ
と解釈可能だが、
ＧＭ裁定で
攻撃の後にダメージって事に
落ち着きましたチャンチャン</t>
        </r>
      </text>
    </comment>
  </commentList>
</comments>
</file>

<file path=xl/comments5.xml><?xml version="1.0" encoding="utf-8"?>
<comments xmlns="http://schemas.openxmlformats.org/spreadsheetml/2006/main">
  <authors>
    <author>CAMEL</author>
  </authors>
  <commentList>
    <comment ref="H20" authorId="0" shapeId="0">
      <text>
        <r>
          <rPr>
            <b/>
            <sz val="9"/>
            <color indexed="81"/>
            <rFont val="ＭＳ Ｐゴシック"/>
            <family val="3"/>
            <charset val="128"/>
          </rPr>
          <t>CAMEL:</t>
        </r>
        <r>
          <rPr>
            <sz val="9"/>
            <color indexed="81"/>
            <rFont val="ＭＳ Ｐゴシック"/>
            <family val="3"/>
            <charset val="128"/>
          </rPr>
          <t xml:space="preserve">
復活の可能性が微レ存なので
消さずに残しておく</t>
        </r>
      </text>
    </comment>
  </commentList>
</comments>
</file>

<file path=xl/sharedStrings.xml><?xml version="1.0" encoding="utf-8"?>
<sst xmlns="http://schemas.openxmlformats.org/spreadsheetml/2006/main" count="2670" uniqueCount="757">
  <si>
    <t>パワー名</t>
    <rPh sb="3" eb="4">
      <t>メイ</t>
    </rPh>
    <phoneticPr fontId="1"/>
  </si>
  <si>
    <t>戦術的優位</t>
    <rPh sb="0" eb="3">
      <t>センジュツテキ</t>
    </rPh>
    <rPh sb="3" eb="5">
      <t>ユウイ</t>
    </rPh>
    <phoneticPr fontId="1"/>
  </si>
  <si>
    <t>通常</t>
    <rPh sb="0" eb="2">
      <t>ツウジョウ</t>
    </rPh>
    <phoneticPr fontId="1"/>
  </si>
  <si>
    <t>クリティカル</t>
    <phoneticPr fontId="1"/>
  </si>
  <si>
    <t>ダメージ</t>
    <phoneticPr fontId="1"/>
  </si>
  <si>
    <t>標準アクション</t>
    <rPh sb="0" eb="2">
      <t>ヒョウジュン</t>
    </rPh>
    <phoneticPr fontId="1"/>
  </si>
  <si>
    <t>目標</t>
    <rPh sb="0" eb="2">
      <t>モクヒョウ</t>
    </rPh>
    <phoneticPr fontId="1"/>
  </si>
  <si>
    <t>アクション</t>
    <phoneticPr fontId="1"/>
  </si>
  <si>
    <t>攻撃</t>
    <rPh sb="0" eb="2">
      <t>コウゲキ</t>
    </rPh>
    <phoneticPr fontId="1"/>
  </si>
  <si>
    <t>ヒット</t>
    <phoneticPr fontId="1"/>
  </si>
  <si>
    <t>現在値</t>
    <rPh sb="0" eb="2">
      <t>ゲンザイ</t>
    </rPh>
    <rPh sb="2" eb="3">
      <t>アタイ</t>
    </rPh>
    <phoneticPr fontId="1"/>
  </si>
  <si>
    <t>能力値修正</t>
    <rPh sb="0" eb="3">
      <t>ノウリョクチ</t>
    </rPh>
    <rPh sb="3" eb="5">
      <t>シュウセイ</t>
    </rPh>
    <phoneticPr fontId="1"/>
  </si>
  <si>
    <t>筋力</t>
    <rPh sb="0" eb="2">
      <t>キンリョク</t>
    </rPh>
    <phoneticPr fontId="1"/>
  </si>
  <si>
    <t>耐久力</t>
    <rPh sb="0" eb="3">
      <t>タイキュウリョク</t>
    </rPh>
    <phoneticPr fontId="1"/>
  </si>
  <si>
    <t>敏捷力</t>
    <rPh sb="0" eb="2">
      <t>ビンショウ</t>
    </rPh>
    <rPh sb="2" eb="3">
      <t>リョク</t>
    </rPh>
    <phoneticPr fontId="1"/>
  </si>
  <si>
    <t>知力</t>
    <rPh sb="0" eb="2">
      <t>チリョク</t>
    </rPh>
    <phoneticPr fontId="1"/>
  </si>
  <si>
    <t>判断力</t>
    <rPh sb="0" eb="3">
      <t>ハンダンリョク</t>
    </rPh>
    <phoneticPr fontId="1"/>
  </si>
  <si>
    <t>魅力</t>
    <rPh sb="0" eb="2">
      <t>ミリョク</t>
    </rPh>
    <phoneticPr fontId="1"/>
  </si>
  <si>
    <t>AC</t>
    <phoneticPr fontId="1"/>
  </si>
  <si>
    <t>頑健</t>
    <rPh sb="0" eb="2">
      <t>ガンケン</t>
    </rPh>
    <phoneticPr fontId="1"/>
  </si>
  <si>
    <t>反応</t>
    <rPh sb="0" eb="2">
      <t>ハンノウ</t>
    </rPh>
    <phoneticPr fontId="1"/>
  </si>
  <si>
    <t>意志</t>
    <rPh sb="0" eb="2">
      <t>イシ</t>
    </rPh>
    <phoneticPr fontId="1"/>
  </si>
  <si>
    <t>種別</t>
    <rPh sb="0" eb="2">
      <t>シュベツ</t>
    </rPh>
    <phoneticPr fontId="1"/>
  </si>
  <si>
    <t>命中計</t>
    <rPh sb="0" eb="2">
      <t>メイチュウ</t>
    </rPh>
    <rPh sb="2" eb="3">
      <t>ケイ</t>
    </rPh>
    <phoneticPr fontId="1"/>
  </si>
  <si>
    <t>能力</t>
    <rPh sb="0" eb="2">
      <t>ノウリョク</t>
    </rPh>
    <phoneticPr fontId="1"/>
  </si>
  <si>
    <t>修正</t>
    <rPh sb="0" eb="2">
      <t>シュウセイ</t>
    </rPh>
    <phoneticPr fontId="1"/>
  </si>
  <si>
    <t>Lv1/2</t>
    <phoneticPr fontId="1"/>
  </si>
  <si>
    <t>習熟</t>
    <rPh sb="0" eb="2">
      <t>シュウジュク</t>
    </rPh>
    <phoneticPr fontId="1"/>
  </si>
  <si>
    <t>強化</t>
    <rPh sb="0" eb="2">
      <t>キョウカ</t>
    </rPh>
    <phoneticPr fontId="1"/>
  </si>
  <si>
    <t>他</t>
    <rPh sb="0" eb="1">
      <t>ホカ</t>
    </rPh>
    <phoneticPr fontId="1"/>
  </si>
  <si>
    <t>名前</t>
    <rPh sb="0" eb="2">
      <t>ナマエ</t>
    </rPh>
    <phoneticPr fontId="1"/>
  </si>
  <si>
    <t>クラス</t>
    <phoneticPr fontId="1"/>
  </si>
  <si>
    <t>Lv</t>
    <phoneticPr fontId="1"/>
  </si>
  <si>
    <t>ダメージ</t>
    <phoneticPr fontId="1"/>
  </si>
  <si>
    <t>ボーナス</t>
    <phoneticPr fontId="1"/>
  </si>
  <si>
    <t>対象</t>
    <rPh sb="0" eb="2">
      <t>タイショウ</t>
    </rPh>
    <phoneticPr fontId="1"/>
  </si>
  <si>
    <t>追加効果・範囲など</t>
    <rPh sb="0" eb="2">
      <t>ツイカ</t>
    </rPh>
    <rPh sb="2" eb="4">
      <t>コウカ</t>
    </rPh>
    <rPh sb="5" eb="7">
      <t>ハンイ</t>
    </rPh>
    <phoneticPr fontId="1"/>
  </si>
  <si>
    <t>クリティカル</t>
    <phoneticPr fontId="1"/>
  </si>
  <si>
    <t>近接基礎</t>
    <rPh sb="0" eb="2">
      <t>キンセツ</t>
    </rPh>
    <rPh sb="2" eb="4">
      <t>キソ</t>
    </rPh>
    <phoneticPr fontId="1"/>
  </si>
  <si>
    <t>キーワード</t>
    <phoneticPr fontId="1"/>
  </si>
  <si>
    <t>種類</t>
    <rPh sb="0" eb="2">
      <t>シュルイ</t>
    </rPh>
    <phoneticPr fontId="1"/>
  </si>
  <si>
    <t>無限回</t>
    <rPh sb="0" eb="2">
      <t>ムゲン</t>
    </rPh>
    <rPh sb="2" eb="3">
      <t>カイ</t>
    </rPh>
    <phoneticPr fontId="1"/>
  </si>
  <si>
    <t>命中
ロール</t>
    <rPh sb="0" eb="2">
      <t>メイチュウ</t>
    </rPh>
    <phoneticPr fontId="1"/>
  </si>
  <si>
    <t>射程</t>
    <rPh sb="0" eb="2">
      <t>シャテイ</t>
    </rPh>
    <phoneticPr fontId="1"/>
  </si>
  <si>
    <t>d</t>
    <phoneticPr fontId="1"/>
  </si>
  <si>
    <t>ｄ</t>
    <phoneticPr fontId="1"/>
  </si>
  <si>
    <t>タイプ・出典</t>
    <rPh sb="4" eb="6">
      <t>シュッテン</t>
    </rPh>
    <phoneticPr fontId="1"/>
  </si>
  <si>
    <t>命中ロール＆ダメージ表</t>
    <rPh sb="0" eb="2">
      <t>メイチュウ</t>
    </rPh>
    <rPh sb="10" eb="11">
      <t>ヒョウ</t>
    </rPh>
    <phoneticPr fontId="1"/>
  </si>
  <si>
    <t>パワー詳細</t>
    <rPh sb="3" eb="5">
      <t>ショウサイ</t>
    </rPh>
    <phoneticPr fontId="1"/>
  </si>
  <si>
    <t>解説・使い時・他PCとの連携等</t>
    <rPh sb="0" eb="2">
      <t>カイセツ</t>
    </rPh>
    <rPh sb="3" eb="4">
      <t>ツカ</t>
    </rPh>
    <rPh sb="5" eb="6">
      <t>ドキ</t>
    </rPh>
    <rPh sb="7" eb="8">
      <t>タ</t>
    </rPh>
    <rPh sb="12" eb="14">
      <t>レンケイ</t>
    </rPh>
    <rPh sb="14" eb="15">
      <t>ナド</t>
    </rPh>
    <phoneticPr fontId="1"/>
  </si>
  <si>
    <t>クリティカル時</t>
    <rPh sb="6" eb="7">
      <t>ジ</t>
    </rPh>
    <phoneticPr fontId="1"/>
  </si>
  <si>
    <t>攻撃R対象</t>
    <rPh sb="0" eb="2">
      <t>コウゲキ</t>
    </rPh>
    <rPh sb="3" eb="5">
      <t>タイショウ</t>
    </rPh>
    <phoneticPr fontId="1"/>
  </si>
  <si>
    <t>ダメージ対象</t>
    <rPh sb="4" eb="6">
      <t>タイショウ</t>
    </rPh>
    <phoneticPr fontId="1"/>
  </si>
  <si>
    <t>攻撃Rボーナス</t>
    <rPh sb="0" eb="2">
      <t>コウゲキ</t>
    </rPh>
    <phoneticPr fontId="1"/>
  </si>
  <si>
    <t>ダメージボーナス</t>
    <phoneticPr fontId="1"/>
  </si>
  <si>
    <t>ここは印刷されませんが、赤字の値の入力で計算が行われます。</t>
    <rPh sb="3" eb="5">
      <t>インサツ</t>
    </rPh>
    <rPh sb="12" eb="14">
      <t>アカジ</t>
    </rPh>
    <rPh sb="15" eb="16">
      <t>アタイ</t>
    </rPh>
    <rPh sb="17" eb="19">
      <t>ニュウリョク</t>
    </rPh>
    <rPh sb="20" eb="22">
      <t>ケイサン</t>
    </rPh>
    <rPh sb="23" eb="24">
      <t>オコナ</t>
    </rPh>
    <phoneticPr fontId="1"/>
  </si>
  <si>
    <t>赤字以外の内容は変更しないでください。</t>
    <rPh sb="0" eb="2">
      <t>アカジ</t>
    </rPh>
    <rPh sb="2" eb="4">
      <t>イガイ</t>
    </rPh>
    <rPh sb="5" eb="7">
      <t>ナイヨウ</t>
    </rPh>
    <rPh sb="8" eb="10">
      <t>ヘンコウ</t>
    </rPh>
    <phoneticPr fontId="1"/>
  </si>
  <si>
    <t>遭遇毎</t>
    <rPh sb="0" eb="2">
      <t>ソウグウ</t>
    </rPh>
    <rPh sb="2" eb="3">
      <t>マイ</t>
    </rPh>
    <phoneticPr fontId="1"/>
  </si>
  <si>
    <t>命中Rパワー修正</t>
    <rPh sb="0" eb="2">
      <t>メイチュウ</t>
    </rPh>
    <rPh sb="6" eb="8">
      <t>シュウセイ</t>
    </rPh>
    <phoneticPr fontId="1"/>
  </si>
  <si>
    <t>ダメージパワー修正</t>
    <rPh sb="7" eb="9">
      <t>シュウセイ</t>
    </rPh>
    <phoneticPr fontId="1"/>
  </si>
  <si>
    <t>ダメージ種別</t>
    <rPh sb="4" eb="6">
      <t>シュベツ</t>
    </rPh>
    <phoneticPr fontId="1"/>
  </si>
  <si>
    <t>効果</t>
    <rPh sb="0" eb="2">
      <t>コウカ</t>
    </rPh>
    <phoneticPr fontId="1"/>
  </si>
  <si>
    <t>↓能力値修正</t>
    <rPh sb="1" eb="4">
      <t>ノウリョクチ</t>
    </rPh>
    <rPh sb="4" eb="6">
      <t>シュウセイ</t>
    </rPh>
    <phoneticPr fontId="1"/>
  </si>
  <si>
    <t>Ver.</t>
    <phoneticPr fontId="1"/>
  </si>
  <si>
    <t>ｄ</t>
    <phoneticPr fontId="1"/>
  </si>
  <si>
    <t>パワー</t>
    <phoneticPr fontId="1"/>
  </si>
  <si>
    <t>効果範囲</t>
    <rPh sb="0" eb="2">
      <t>コウカ</t>
    </rPh>
    <rPh sb="2" eb="4">
      <t>ハンイ</t>
    </rPh>
    <phoneticPr fontId="1"/>
  </si>
  <si>
    <t>爆発</t>
    <rPh sb="0" eb="2">
      <t>バクハツ</t>
    </rPh>
    <phoneticPr fontId="1"/>
  </si>
  <si>
    <t>火</t>
    <rPh sb="0" eb="1">
      <t>ヒ</t>
    </rPh>
    <phoneticPr fontId="1"/>
  </si>
  <si>
    <t>近接</t>
    <rPh sb="0" eb="2">
      <t>キンセツ</t>
    </rPh>
    <phoneticPr fontId="1"/>
  </si>
  <si>
    <t>近接範囲</t>
    <rPh sb="0" eb="2">
      <t>キンセツ</t>
    </rPh>
    <rPh sb="2" eb="4">
      <t>ハンイ</t>
    </rPh>
    <phoneticPr fontId="1"/>
  </si>
  <si>
    <t>遠隔</t>
    <rPh sb="0" eb="2">
      <t>エンカク</t>
    </rPh>
    <phoneticPr fontId="1"/>
  </si>
  <si>
    <t>噴射</t>
    <rPh sb="0" eb="2">
      <t>フンシャ</t>
    </rPh>
    <phoneticPr fontId="1"/>
  </si>
  <si>
    <t>接触</t>
    <rPh sb="0" eb="2">
      <t>セッショク</t>
    </rPh>
    <phoneticPr fontId="1"/>
  </si>
  <si>
    <t>光輝</t>
    <rPh sb="0" eb="1">
      <t>コウ</t>
    </rPh>
    <rPh sb="1" eb="2">
      <t>キ</t>
    </rPh>
    <phoneticPr fontId="1"/>
  </si>
  <si>
    <t>酸</t>
    <rPh sb="0" eb="1">
      <t>サン</t>
    </rPh>
    <phoneticPr fontId="1"/>
  </si>
  <si>
    <t>死霊</t>
    <rPh sb="0" eb="2">
      <t>シリョウ</t>
    </rPh>
    <phoneticPr fontId="1"/>
  </si>
  <si>
    <t>精神</t>
    <rPh sb="0" eb="2">
      <t>セイシン</t>
    </rPh>
    <phoneticPr fontId="1"/>
  </si>
  <si>
    <t>電撃</t>
    <rPh sb="0" eb="2">
      <t>デンゲキ</t>
    </rPh>
    <phoneticPr fontId="1"/>
  </si>
  <si>
    <t>毒</t>
    <rPh sb="0" eb="1">
      <t>ドク</t>
    </rPh>
    <phoneticPr fontId="1"/>
  </si>
  <si>
    <t>雷鳴</t>
    <rPh sb="0" eb="2">
      <t>ライメイ</t>
    </rPh>
    <phoneticPr fontId="1"/>
  </si>
  <si>
    <t>力場</t>
    <rPh sb="0" eb="2">
      <t>リキバ</t>
    </rPh>
    <phoneticPr fontId="1"/>
  </si>
  <si>
    <t>冷気</t>
    <rPh sb="0" eb="2">
      <t>レイキ</t>
    </rPh>
    <phoneticPr fontId="1"/>
  </si>
  <si>
    <t>遠隔範囲</t>
    <rPh sb="0" eb="2">
      <t>エンカク</t>
    </rPh>
    <rPh sb="2" eb="4">
      <t>ハンイ</t>
    </rPh>
    <phoneticPr fontId="1"/>
  </si>
  <si>
    <t>特技</t>
    <rPh sb="0" eb="2">
      <t>トクギ</t>
    </rPh>
    <phoneticPr fontId="1"/>
  </si>
  <si>
    <t>攻撃方法</t>
    <rPh sb="0" eb="2">
      <t>コウゲキ</t>
    </rPh>
    <rPh sb="2" eb="4">
      <t>ホウホウ</t>
    </rPh>
    <phoneticPr fontId="1"/>
  </si>
  <si>
    <t>ダメージダイス</t>
    <phoneticPr fontId="1"/>
  </si>
  <si>
    <t>HP</t>
    <phoneticPr fontId="1"/>
  </si>
  <si>
    <t>使用者</t>
    <rPh sb="0" eb="3">
      <t>シヨウシャ</t>
    </rPh>
    <phoneticPr fontId="1"/>
  </si>
  <si>
    <t>.</t>
    <phoneticPr fontId="1"/>
  </si>
  <si>
    <t>AC</t>
  </si>
  <si>
    <t>クリーチャー１体</t>
    <rPh sb="7" eb="8">
      <t>タイ</t>
    </rPh>
    <phoneticPr fontId="1"/>
  </si>
  <si>
    <t>ＡＣ</t>
    <phoneticPr fontId="1"/>
  </si>
  <si>
    <t>移動力</t>
    <rPh sb="0" eb="2">
      <t>イドウ</t>
    </rPh>
    <rPh sb="2" eb="3">
      <t>リョク</t>
    </rPh>
    <phoneticPr fontId="1"/>
  </si>
  <si>
    <t>重傷値</t>
    <rPh sb="0" eb="2">
      <t>ジュウショウ</t>
    </rPh>
    <rPh sb="2" eb="3">
      <t>チ</t>
    </rPh>
    <phoneticPr fontId="1"/>
  </si>
  <si>
    <t>回復力</t>
    <rPh sb="0" eb="3">
      <t>カイフクリョク</t>
    </rPh>
    <phoneticPr fontId="1"/>
  </si>
  <si>
    <t>遠隔基礎</t>
    <rPh sb="0" eb="2">
      <t>エンカク</t>
    </rPh>
    <rPh sb="2" eb="4">
      <t>キソ</t>
    </rPh>
    <phoneticPr fontId="1"/>
  </si>
  <si>
    <t>パワー</t>
    <phoneticPr fontId="1"/>
  </si>
  <si>
    <t>使用者</t>
    <rPh sb="0" eb="3">
      <t>シヨウシャ</t>
    </rPh>
    <phoneticPr fontId="1"/>
  </si>
  <si>
    <t>精霊</t>
    <rPh sb="0" eb="2">
      <t>セイレイ</t>
    </rPh>
    <phoneticPr fontId="1"/>
  </si>
  <si>
    <t>武器</t>
    <rPh sb="0" eb="2">
      <t>ブキ</t>
    </rPh>
    <phoneticPr fontId="1"/>
  </si>
  <si>
    <t>近接基礎</t>
  </si>
  <si>
    <t>近接or遠隔</t>
    <rPh sb="0" eb="2">
      <t>キンセツ</t>
    </rPh>
    <rPh sb="4" eb="6">
      <t>エンカク</t>
    </rPh>
    <phoneticPr fontId="1"/>
  </si>
  <si>
    <t>近接基礎攻撃</t>
    <rPh sb="0" eb="2">
      <t>キンセツ</t>
    </rPh>
    <rPh sb="2" eb="4">
      <t>キソ</t>
    </rPh>
    <rPh sb="4" eb="6">
      <t>コウゲキ</t>
    </rPh>
    <phoneticPr fontId="1"/>
  </si>
  <si>
    <t>突撃</t>
    <rPh sb="0" eb="2">
      <t>トツゲキ</t>
    </rPh>
    <phoneticPr fontId="1"/>
  </si>
  <si>
    <t>HP初期値</t>
    <rPh sb="2" eb="5">
      <t>ショキチ</t>
    </rPh>
    <phoneticPr fontId="1"/>
  </si>
  <si>
    <t>HP上昇</t>
    <rPh sb="2" eb="4">
      <t>ジョウショウ</t>
    </rPh>
    <phoneticPr fontId="1"/>
  </si>
  <si>
    <t>回数初期値</t>
    <rPh sb="0" eb="2">
      <t>カイスウ</t>
    </rPh>
    <rPh sb="2" eb="5">
      <t>ショキチ</t>
    </rPh>
    <phoneticPr fontId="1"/>
  </si>
  <si>
    <t>ＨＰ修正</t>
    <rPh sb="2" eb="4">
      <t>シュウセイ</t>
    </rPh>
    <phoneticPr fontId="1"/>
  </si>
  <si>
    <t>回数修正</t>
    <rPh sb="0" eb="2">
      <t>カイスウ</t>
    </rPh>
    <rPh sb="2" eb="4">
      <t>シュウセイ</t>
    </rPh>
    <phoneticPr fontId="1"/>
  </si>
  <si>
    <t>回復回数</t>
    <rPh sb="0" eb="2">
      <t>カイフク</t>
    </rPh>
    <rPh sb="2" eb="4">
      <t>カイスウ</t>
    </rPh>
    <phoneticPr fontId="1"/>
  </si>
  <si>
    <t>クラス</t>
    <phoneticPr fontId="1"/>
  </si>
  <si>
    <t>ｄ</t>
    <phoneticPr fontId="1"/>
  </si>
  <si>
    <t>機会攻撃</t>
    <rPh sb="0" eb="2">
      <t>キカイ</t>
    </rPh>
    <rPh sb="2" eb="4">
      <t>コウゲキ</t>
    </rPh>
    <phoneticPr fontId="1"/>
  </si>
  <si>
    <t>ｄ</t>
    <phoneticPr fontId="1"/>
  </si>
  <si>
    <t>遭遇毎</t>
    <rPh sb="0" eb="2">
      <t>ソウグウ</t>
    </rPh>
    <rPh sb="2" eb="3">
      <t>ゴト</t>
    </rPh>
    <phoneticPr fontId="1"/>
  </si>
  <si>
    <t>パワー</t>
  </si>
  <si>
    <t>基本</t>
    <rPh sb="0" eb="2">
      <t>キホン</t>
    </rPh>
    <phoneticPr fontId="1"/>
  </si>
  <si>
    <t>Lv</t>
  </si>
  <si>
    <t>ＡＣ</t>
  </si>
  <si>
    <t>目標</t>
    <rPh sb="0" eb="2">
      <t>モクヒョウ</t>
    </rPh>
    <phoneticPr fontId="1"/>
  </si>
  <si>
    <t>Lv</t>
    <phoneticPr fontId="1"/>
  </si>
  <si>
    <t>一日毎</t>
    <rPh sb="0" eb="2">
      <t>イチニチ</t>
    </rPh>
    <rPh sb="2" eb="3">
      <t>マイ</t>
    </rPh>
    <phoneticPr fontId="1"/>
  </si>
  <si>
    <t>キーワード</t>
    <phoneticPr fontId="1"/>
  </si>
  <si>
    <t>アクション</t>
    <phoneticPr fontId="1"/>
  </si>
  <si>
    <t>ヒット</t>
    <phoneticPr fontId="1"/>
  </si>
  <si>
    <t>命中ロール</t>
    <rPh sb="0" eb="2">
      <t>メイチュウ</t>
    </rPh>
    <phoneticPr fontId="1"/>
  </si>
  <si>
    <t>一日毎</t>
    <rPh sb="0" eb="2">
      <t>イチニチ</t>
    </rPh>
    <rPh sb="2" eb="3">
      <t>ゴト</t>
    </rPh>
    <phoneticPr fontId="1"/>
  </si>
  <si>
    <t>トリガー</t>
    <phoneticPr fontId="1"/>
  </si>
  <si>
    <t>マイナー・アクション</t>
    <phoneticPr fontId="1"/>
  </si>
  <si>
    <t>Lv</t>
    <phoneticPr fontId="1"/>
  </si>
  <si>
    <t>心衣用アーデント能力値</t>
    <rPh sb="0" eb="1">
      <t>ココロ</t>
    </rPh>
    <rPh sb="1" eb="2">
      <t>コロモ</t>
    </rPh>
    <rPh sb="2" eb="3">
      <t>ヨウ</t>
    </rPh>
    <rPh sb="8" eb="10">
      <t>ノウリョク</t>
    </rPh>
    <rPh sb="10" eb="11">
      <t>チ</t>
    </rPh>
    <phoneticPr fontId="1"/>
  </si>
  <si>
    <t>即応・割込</t>
    <rPh sb="0" eb="2">
      <t>ソクオウ</t>
    </rPh>
    <rPh sb="3" eb="5">
      <t>ワリコ</t>
    </rPh>
    <phoneticPr fontId="1"/>
  </si>
  <si>
    <t>テーマパワー</t>
    <phoneticPr fontId="1"/>
  </si>
  <si>
    <t>リュカオン</t>
    <phoneticPr fontId="1"/>
  </si>
  <si>
    <t>軍用</t>
    <rPh sb="0" eb="2">
      <t>グンヨウ</t>
    </rPh>
    <phoneticPr fontId="1"/>
  </si>
  <si>
    <t>変身中</t>
    <rPh sb="0" eb="3">
      <t>ヘンシンチュウ</t>
    </rPh>
    <phoneticPr fontId="1"/>
  </si>
  <si>
    <t>武器</t>
    <rPh sb="0" eb="2">
      <t>ブキ</t>
    </rPh>
    <phoneticPr fontId="1"/>
  </si>
  <si>
    <t>筋力</t>
    <phoneticPr fontId="1"/>
  </si>
  <si>
    <t>筋力</t>
    <phoneticPr fontId="1"/>
  </si>
  <si>
    <t>ウォーデン/攻撃/１　(原10)</t>
    <rPh sb="6" eb="8">
      <t>コウゲキ</t>
    </rPh>
    <rPh sb="12" eb="13">
      <t>ゲン</t>
    </rPh>
    <phoneticPr fontId="1"/>
  </si>
  <si>
    <t>ウォーデン/攻撃/１　(ＰＨⅡ69)</t>
    <rPh sb="6" eb="8">
      <t>コウゲキ</t>
    </rPh>
    <phoneticPr fontId="1"/>
  </si>
  <si>
    <t>野生の血：この攻撃は使用者の【判断力】に等しい追加ダメ―ジを与える。</t>
    <rPh sb="7" eb="9">
      <t>コウゲキ</t>
    </rPh>
    <rPh sb="10" eb="13">
      <t>シヨウシャ</t>
    </rPh>
    <rPh sb="15" eb="18">
      <t>ハンダンリョク</t>
    </rPh>
    <rPh sb="20" eb="21">
      <t>ヒト</t>
    </rPh>
    <rPh sb="23" eb="25">
      <t>ツイカ</t>
    </rPh>
    <rPh sb="30" eb="31">
      <t>アタ</t>
    </rPh>
    <phoneticPr fontId="1"/>
  </si>
  <si>
    <t>効果</t>
    <rPh sb="0" eb="2">
      <t>コウカ</t>
    </rPh>
    <phoneticPr fontId="1"/>
  </si>
  <si>
    <r>
      <t>同一の、あるいは別の目標に対して、上記と同じ</t>
    </r>
    <r>
      <rPr>
        <b/>
        <sz val="11"/>
        <color rgb="FFFF0000"/>
        <rFont val="ＭＳ Ｐゴシック"/>
        <family val="3"/>
        <charset val="128"/>
        <scheme val="minor"/>
      </rPr>
      <t>攻撃をもう１回行う</t>
    </r>
    <r>
      <rPr>
        <sz val="11"/>
        <rFont val="ＭＳ Ｐゴシック"/>
        <family val="3"/>
        <charset val="128"/>
        <scheme val="minor"/>
      </rPr>
      <t>。</t>
    </r>
    <rPh sb="0" eb="2">
      <t>ドウイツ</t>
    </rPh>
    <rPh sb="8" eb="9">
      <t>ベツ</t>
    </rPh>
    <rPh sb="10" eb="12">
      <t>モクヒョウ</t>
    </rPh>
    <rPh sb="13" eb="14">
      <t>タイ</t>
    </rPh>
    <rPh sb="17" eb="19">
      <t>ジョウキ</t>
    </rPh>
    <rPh sb="20" eb="21">
      <t>オナ</t>
    </rPh>
    <rPh sb="22" eb="24">
      <t>コウゲキ</t>
    </rPh>
    <rPh sb="28" eb="29">
      <t>カイ</t>
    </rPh>
    <rPh sb="29" eb="30">
      <t>オコナ</t>
    </rPh>
    <phoneticPr fontId="1"/>
  </si>
  <si>
    <t>プレシング・アタック</t>
    <phoneticPr fontId="1"/>
  </si>
  <si>
    <t>ウォーデン/攻撃/３　(原13)</t>
    <rPh sb="6" eb="8">
      <t>コウゲキ</t>
    </rPh>
    <rPh sb="12" eb="13">
      <t>ゲン</t>
    </rPh>
    <phoneticPr fontId="1"/>
  </si>
  <si>
    <t>この攻撃の前に使用者は４マスのシフトを行う。</t>
    <rPh sb="2" eb="4">
      <t>コウゲキ</t>
    </rPh>
    <rPh sb="5" eb="6">
      <t>マエ</t>
    </rPh>
    <rPh sb="7" eb="9">
      <t>シヨウ</t>
    </rPh>
    <rPh sb="9" eb="10">
      <t>シャ</t>
    </rPh>
    <rPh sb="19" eb="20">
      <t>オコナ</t>
    </rPh>
    <phoneticPr fontId="1"/>
  </si>
  <si>
    <t>野生の血：使用者が移動できる距離に使用者の【判断力】を加える。</t>
    <rPh sb="0" eb="2">
      <t>ヤセイ</t>
    </rPh>
    <rPh sb="3" eb="4">
      <t>チ</t>
    </rPh>
    <rPh sb="5" eb="8">
      <t>シヨウシャ</t>
    </rPh>
    <rPh sb="9" eb="11">
      <t>イドウ</t>
    </rPh>
    <rPh sb="14" eb="16">
      <t>キョリ</t>
    </rPh>
    <rPh sb="17" eb="19">
      <t>シヨウ</t>
    </rPh>
    <rPh sb="19" eb="20">
      <t>シャ</t>
    </rPh>
    <rPh sb="22" eb="24">
      <t>ハンダン</t>
    </rPh>
    <rPh sb="24" eb="25">
      <t>リョク</t>
    </rPh>
    <rPh sb="27" eb="28">
      <t>クワ</t>
    </rPh>
    <phoneticPr fontId="1"/>
  </si>
  <si>
    <t>ウォーデン/攻撃/７　(原15)</t>
    <rPh sb="6" eb="8">
      <t>コウゲキ</t>
    </rPh>
    <phoneticPr fontId="1"/>
  </si>
  <si>
    <t>即応・対応</t>
    <rPh sb="0" eb="2">
      <t>ソクオウ</t>
    </rPh>
    <rPh sb="3" eb="5">
      <t>タイオウ</t>
    </rPh>
    <phoneticPr fontId="1"/>
  </si>
  <si>
    <t>１体が敵そのもののターンに、使用者から３マス以内にいる味方に隣接するマス目に侵入する。</t>
    <rPh sb="1" eb="2">
      <t>タイ</t>
    </rPh>
    <rPh sb="3" eb="4">
      <t>テキ</t>
    </rPh>
    <rPh sb="14" eb="17">
      <t>シヨウシャ</t>
    </rPh>
    <rPh sb="22" eb="24">
      <t>イナイ</t>
    </rPh>
    <rPh sb="27" eb="29">
      <t>ミカタ</t>
    </rPh>
    <rPh sb="30" eb="32">
      <t>リンセツ</t>
    </rPh>
    <rPh sb="36" eb="37">
      <t>メ</t>
    </rPh>
    <rPh sb="38" eb="40">
      <t>シンニュウ</t>
    </rPh>
    <phoneticPr fontId="1"/>
  </si>
  <si>
    <t>野生の血：”味方が何マスまで離れていてもかまわないかと”いうマスの数に、</t>
    <rPh sb="0" eb="2">
      <t>ヤセイ</t>
    </rPh>
    <rPh sb="3" eb="4">
      <t>チ</t>
    </rPh>
    <rPh sb="6" eb="8">
      <t>ミカタ</t>
    </rPh>
    <rPh sb="9" eb="10">
      <t>ナン</t>
    </rPh>
    <rPh sb="14" eb="15">
      <t>ハナ</t>
    </rPh>
    <rPh sb="33" eb="34">
      <t>カズ</t>
    </rPh>
    <phoneticPr fontId="1"/>
  </si>
  <si>
    <t>　　　　　　　使用者の【判断力】を加える。</t>
    <rPh sb="7" eb="10">
      <t>シヨウシャ</t>
    </rPh>
    <rPh sb="12" eb="15">
      <t>ハンダンリョク</t>
    </rPh>
    <rPh sb="17" eb="18">
      <t>クワ</t>
    </rPh>
    <phoneticPr fontId="1"/>
  </si>
  <si>
    <t>トリガーを発生させた敵</t>
    <rPh sb="5" eb="7">
      <t>ハッセイ</t>
    </rPh>
    <rPh sb="10" eb="11">
      <t>テキ</t>
    </rPh>
    <phoneticPr fontId="1"/>
  </si>
  <si>
    <r>
      <t>目標は</t>
    </r>
    <r>
      <rPr>
        <b/>
        <sz val="11"/>
        <color rgb="FFFF0000"/>
        <rFont val="ＭＳ Ｐゴシック"/>
        <family val="3"/>
        <charset val="128"/>
        <scheme val="minor"/>
      </rPr>
      <t>自身のＴ終</t>
    </r>
    <r>
      <rPr>
        <sz val="11"/>
        <color theme="1"/>
        <rFont val="ＭＳ Ｐゴシック"/>
        <family val="3"/>
        <charset val="128"/>
        <scheme val="minor"/>
      </rPr>
      <t>まで、</t>
    </r>
    <r>
      <rPr>
        <b/>
        <sz val="11"/>
        <color rgb="FFFF0000"/>
        <rFont val="ＭＳ Ｐゴシック"/>
        <family val="3"/>
        <charset val="128"/>
        <scheme val="minor"/>
      </rPr>
      <t>攻撃Ｒに－５</t>
    </r>
    <r>
      <rPr>
        <sz val="11"/>
        <color theme="1"/>
        <rFont val="ＭＳ Ｐゴシック"/>
        <family val="3"/>
        <charset val="128"/>
        <scheme val="minor"/>
      </rPr>
      <t>のペナルティを受ける。</t>
    </r>
    <rPh sb="0" eb="2">
      <t>モクヒョウ</t>
    </rPh>
    <rPh sb="3" eb="5">
      <t>ジシン</t>
    </rPh>
    <rPh sb="7" eb="8">
      <t>シュウ</t>
    </rPh>
    <rPh sb="11" eb="13">
      <t>コウゲキ</t>
    </rPh>
    <rPh sb="24" eb="25">
      <t>ウ</t>
    </rPh>
    <phoneticPr fontId="1"/>
  </si>
  <si>
    <t>攻撃</t>
    <rPh sb="0" eb="2">
      <t>コウゲキ</t>
    </rPh>
    <phoneticPr fontId="1"/>
  </si>
  <si>
    <t>ミス</t>
    <phoneticPr fontId="1"/>
  </si>
  <si>
    <t>半減ダメージ</t>
    <rPh sb="0" eb="2">
      <t>ハンゲン</t>
    </rPh>
    <phoneticPr fontId="1"/>
  </si>
  <si>
    <t>この遭遇中、使用者はこの形態をとっている間に１回だけ以下の[武器]攻撃を行うことができる。</t>
    <rPh sb="2" eb="4">
      <t>ソウグウ</t>
    </rPh>
    <rPh sb="4" eb="5">
      <t>チュウ</t>
    </rPh>
    <rPh sb="6" eb="9">
      <t>シヨウシャ</t>
    </rPh>
    <rPh sb="12" eb="14">
      <t>ケイタイ</t>
    </rPh>
    <rPh sb="20" eb="21">
      <t>アイダ</t>
    </rPh>
    <rPh sb="23" eb="24">
      <t>カイ</t>
    </rPh>
    <rPh sb="26" eb="28">
      <t>イカ</t>
    </rPh>
    <rPh sb="30" eb="32">
      <t>ブキ</t>
    </rPh>
    <rPh sb="33" eb="35">
      <t>コウゲキ</t>
    </rPh>
    <rPh sb="36" eb="37">
      <t>オコナ</t>
    </rPh>
    <phoneticPr fontId="1"/>
  </si>
  <si>
    <t>ウォーデン/攻撃/５　(ＰＨⅡ71)</t>
    <rPh sb="6" eb="8">
      <t>コウゲキ</t>
    </rPh>
    <phoneticPr fontId="1"/>
  </si>
  <si>
    <t>目標は幻惑状態となる(ＳＴ終）</t>
    <rPh sb="0" eb="2">
      <t>モクヒョウ</t>
    </rPh>
    <rPh sb="3" eb="5">
      <t>ゲンワク</t>
    </rPh>
    <rPh sb="5" eb="7">
      <t>ジョウタイ</t>
    </rPh>
    <rPh sb="13" eb="14">
      <t>シュウ</t>
    </rPh>
    <phoneticPr fontId="1"/>
  </si>
  <si>
    <t>半減ダメージ</t>
    <rPh sb="0" eb="1">
      <t>ハンゲン</t>
    </rPh>
    <phoneticPr fontId="1"/>
  </si>
  <si>
    <t>目標は使用者の次Ｔ終まで幻惑状態となる。</t>
    <rPh sb="0" eb="2">
      <t>モクヒョウ</t>
    </rPh>
    <rPh sb="3" eb="6">
      <t>シヨウシャ</t>
    </rPh>
    <rPh sb="7" eb="8">
      <t>ジ</t>
    </rPh>
    <rPh sb="9" eb="10">
      <t>シュウ</t>
    </rPh>
    <rPh sb="12" eb="14">
      <t>ゲンワク</t>
    </rPh>
    <rPh sb="14" eb="16">
      <t>ジョウタイ</t>
    </rPh>
    <phoneticPr fontId="1"/>
  </si>
  <si>
    <t>クラス特徴</t>
    <rPh sb="3" eb="5">
      <t>トクチョウ</t>
    </rPh>
    <phoneticPr fontId="1"/>
  </si>
  <si>
    <t>ウォーデンズ・グラブズ</t>
    <phoneticPr fontId="1"/>
  </si>
  <si>
    <t>ウォーデン/クラス特徴/　(PHⅡ68)</t>
    <rPh sb="9" eb="11">
      <t>トクチョウ</t>
    </rPh>
    <phoneticPr fontId="1"/>
  </si>
  <si>
    <t>範囲内にいるトリガーとなる攻撃を行った敵</t>
    <rPh sb="0" eb="3">
      <t>ハンイナイ</t>
    </rPh>
    <rPh sb="13" eb="15">
      <t>コウゲキ</t>
    </rPh>
    <rPh sb="16" eb="17">
      <t>オコナ</t>
    </rPh>
    <rPh sb="19" eb="20">
      <t>テキ</t>
    </rPh>
    <phoneticPr fontId="1"/>
  </si>
  <si>
    <t>使用者から５マス以内にいて使用者にマークされている１体の敵が、</t>
    <rPh sb="0" eb="2">
      <t>シヨウ</t>
    </rPh>
    <rPh sb="2" eb="3">
      <t>シャ</t>
    </rPh>
    <rPh sb="8" eb="10">
      <t>イナイ</t>
    </rPh>
    <rPh sb="13" eb="16">
      <t>シヨウシャ</t>
    </rPh>
    <rPh sb="26" eb="27">
      <t>タイ</t>
    </rPh>
    <rPh sb="28" eb="29">
      <t>テキ</t>
    </rPh>
    <phoneticPr fontId="1"/>
  </si>
  <si>
    <t>使用者を含まない１回の攻撃を行う。</t>
    <rPh sb="0" eb="2">
      <t>シヨウ</t>
    </rPh>
    <rPh sb="2" eb="3">
      <t>シャ</t>
    </rPh>
    <rPh sb="4" eb="5">
      <t>フク</t>
    </rPh>
    <rPh sb="9" eb="10">
      <t>カイ</t>
    </rPh>
    <rPh sb="11" eb="13">
      <t>コウゲキ</t>
    </rPh>
    <rPh sb="14" eb="15">
      <t>オコナ</t>
    </rPh>
    <phoneticPr fontId="1"/>
  </si>
  <si>
    <t>使用者は目標を１マス横滑りさせる。</t>
    <rPh sb="0" eb="2">
      <t>シヨウ</t>
    </rPh>
    <rPh sb="2" eb="3">
      <t>シャ</t>
    </rPh>
    <rPh sb="4" eb="6">
      <t>モクヒョウ</t>
    </rPh>
    <rPh sb="10" eb="12">
      <t>ヨコスベ</t>
    </rPh>
    <phoneticPr fontId="1"/>
  </si>
  <si>
    <t>トリガーとなる攻撃を行った敵</t>
    <rPh sb="7" eb="9">
      <t>コウゲキ</t>
    </rPh>
    <rPh sb="10" eb="11">
      <t>オコナ</t>
    </rPh>
    <rPh sb="13" eb="14">
      <t>テキ</t>
    </rPh>
    <phoneticPr fontId="1"/>
  </si>
  <si>
    <t>[無限回]◆［原始]［武器]</t>
    <rPh sb="1" eb="3">
      <t>ムゲン</t>
    </rPh>
    <rPh sb="3" eb="4">
      <t>カイ</t>
    </rPh>
    <phoneticPr fontId="1"/>
  </si>
  <si>
    <t>[無限回]◆［原始]</t>
    <rPh sb="1" eb="3">
      <t>ムゲン</t>
    </rPh>
    <rPh sb="3" eb="4">
      <t>カイ</t>
    </rPh>
    <phoneticPr fontId="1"/>
  </si>
  <si>
    <t>[遭遇毎]◆［原始]［武器]</t>
    <rPh sb="1" eb="3">
      <t>ソウグウ</t>
    </rPh>
    <rPh sb="3" eb="4">
      <t>マイ</t>
    </rPh>
    <phoneticPr fontId="1"/>
  </si>
  <si>
    <t>使用者にマークされている１体の敵が、使用者を含まない１回の攻撃を行う。</t>
    <rPh sb="0" eb="3">
      <t>シヨウシャ</t>
    </rPh>
    <rPh sb="13" eb="14">
      <t>タイ</t>
    </rPh>
    <rPh sb="15" eb="16">
      <t>テキ</t>
    </rPh>
    <phoneticPr fontId="1"/>
  </si>
  <si>
    <t>使用者の次T終まで、目標は使用者および使用者の全ての味方に対して</t>
    <rPh sb="0" eb="3">
      <t>シヨウシャ</t>
    </rPh>
    <rPh sb="4" eb="5">
      <t>ジ</t>
    </rPh>
    <rPh sb="6" eb="7">
      <t>シュウ</t>
    </rPh>
    <rPh sb="10" eb="12">
      <t>モクヒョウ</t>
    </rPh>
    <rPh sb="13" eb="16">
      <t>シヨウシャ</t>
    </rPh>
    <rPh sb="19" eb="22">
      <t>シヨウシャ</t>
    </rPh>
    <rPh sb="23" eb="24">
      <t>スベ</t>
    </rPh>
    <rPh sb="26" eb="28">
      <t>ミカタ</t>
    </rPh>
    <rPh sb="29" eb="30">
      <t>タイ</t>
    </rPh>
    <phoneticPr fontId="1"/>
  </si>
  <si>
    <t>戦術的優位を与える。</t>
    <rPh sb="0" eb="3">
      <t>センジュツテキ</t>
    </rPh>
    <rPh sb="3" eb="5">
      <t>ユウイ</t>
    </rPh>
    <rPh sb="6" eb="7">
      <t>アタ</t>
    </rPh>
    <phoneticPr fontId="1"/>
  </si>
  <si>
    <t>[遭遇毎]</t>
    <rPh sb="1" eb="3">
      <t>ソウグウ</t>
    </rPh>
    <rPh sb="3" eb="4">
      <t>マイ</t>
    </rPh>
    <phoneticPr fontId="1"/>
  </si>
  <si>
    <t>必要条件</t>
    <rPh sb="0" eb="2">
      <t>ヒツヨウ</t>
    </rPh>
    <rPh sb="2" eb="4">
      <t>ジョウケン</t>
    </rPh>
    <phoneticPr fontId="1"/>
  </si>
  <si>
    <t>種族特徴</t>
    <rPh sb="0" eb="2">
      <t>シュゾク</t>
    </rPh>
    <rPh sb="2" eb="4">
      <t>トクチョウ</t>
    </rPh>
    <phoneticPr fontId="1"/>
  </si>
  <si>
    <t>シフター／種族パワー／　（PHⅡ10）</t>
    <rPh sb="5" eb="7">
      <t>シュゾク</t>
    </rPh>
    <phoneticPr fontId="1"/>
  </si>
  <si>
    <r>
      <t>このパワーは</t>
    </r>
    <r>
      <rPr>
        <b/>
        <sz val="11"/>
        <color rgb="FFFF0000"/>
        <rFont val="ＭＳ Ｐゴシック"/>
        <family val="3"/>
        <charset val="128"/>
        <scheme val="minor"/>
      </rPr>
      <t>重傷時</t>
    </r>
    <r>
      <rPr>
        <sz val="11"/>
        <color theme="1"/>
        <rFont val="ＭＳ Ｐゴシック"/>
        <family val="2"/>
        <charset val="128"/>
        <scheme val="minor"/>
      </rPr>
      <t>のみ使用できる。</t>
    </r>
    <rPh sb="6" eb="8">
      <t>ジュウショウ</t>
    </rPh>
    <rPh sb="8" eb="9">
      <t>ジ</t>
    </rPh>
    <rPh sb="11" eb="13">
      <t>シヨウ</t>
    </rPh>
    <phoneticPr fontId="1"/>
  </si>
  <si>
    <t>この遭遇が終了するまで、使用者はダメージRに＋２のボーナスを得る。</t>
    <rPh sb="2" eb="4">
      <t>ソウグウ</t>
    </rPh>
    <rPh sb="5" eb="7">
      <t>シュウリョウ</t>
    </rPh>
    <rPh sb="12" eb="15">
      <t>シヨウシャ</t>
    </rPh>
    <rPh sb="30" eb="31">
      <t>エ</t>
    </rPh>
    <phoneticPr fontId="1"/>
  </si>
  <si>
    <r>
      <t>さらに、使用者は</t>
    </r>
    <r>
      <rPr>
        <b/>
        <sz val="11"/>
        <color rgb="FFFF0000"/>
        <rFont val="ＭＳ Ｐゴシック"/>
        <family val="3"/>
        <charset val="128"/>
        <scheme val="minor"/>
      </rPr>
      <t>重傷</t>
    </r>
    <r>
      <rPr>
        <sz val="11"/>
        <rFont val="ＭＳ Ｐゴシック"/>
        <family val="3"/>
        <charset val="128"/>
        <scheme val="minor"/>
      </rPr>
      <t>である限り”再生２”を得る。</t>
    </r>
    <rPh sb="4" eb="7">
      <t>シヨウシャ</t>
    </rPh>
    <rPh sb="8" eb="10">
      <t>ジュウショウ</t>
    </rPh>
    <rPh sb="13" eb="14">
      <t>カギ</t>
    </rPh>
    <rPh sb="16" eb="18">
      <t>サイセイ</t>
    </rPh>
    <rPh sb="21" eb="22">
      <t>エ</t>
    </rPh>
    <phoneticPr fontId="1"/>
  </si>
  <si>
    <t>　(Lv11:再生４ Lv21:再生６)</t>
    <rPh sb="7" eb="9">
      <t>サイセイ</t>
    </rPh>
    <rPh sb="16" eb="18">
      <t>サイセイ</t>
    </rPh>
    <phoneticPr fontId="1"/>
  </si>
  <si>
    <r>
      <t>　　</t>
    </r>
    <r>
      <rPr>
        <b/>
        <sz val="11"/>
        <color theme="1"/>
        <rFont val="ＭＳ Ｐゴシック"/>
        <family val="3"/>
        <charset val="128"/>
        <scheme val="minor"/>
      </rPr>
      <t>パワー◆[遭遇毎】</t>
    </r>
    <r>
      <rPr>
        <sz val="11"/>
        <color theme="1"/>
        <rFont val="ＭＳ Ｐゴシック"/>
        <family val="2"/>
        <charset val="128"/>
        <scheme val="minor"/>
      </rPr>
      <t>(マイナー・アクション)</t>
    </r>
    <rPh sb="7" eb="9">
      <t>ソウグウ</t>
    </rPh>
    <rPh sb="9" eb="10">
      <t>マイ</t>
    </rPh>
    <phoneticPr fontId="1"/>
  </si>
  <si>
    <r>
      <t>　　　　使用者は次T終まで、あらゆる意味で"</t>
    </r>
    <r>
      <rPr>
        <b/>
        <sz val="11"/>
        <color rgb="FFFF0000"/>
        <rFont val="ＭＳ Ｐゴシック"/>
        <family val="3"/>
        <charset val="128"/>
        <scheme val="minor"/>
      </rPr>
      <t>重傷</t>
    </r>
    <r>
      <rPr>
        <sz val="11"/>
        <color theme="1"/>
        <rFont val="ＭＳ Ｐゴシック"/>
        <family val="2"/>
        <charset val="128"/>
        <scheme val="minor"/>
      </rPr>
      <t>"とみなされる。</t>
    </r>
    <phoneticPr fontId="1"/>
  </si>
  <si>
    <t>　　本当は重傷になってないけど変身完了！</t>
    <rPh sb="2" eb="4">
      <t>ホントウ</t>
    </rPh>
    <rPh sb="5" eb="7">
      <t>ジュウショウ</t>
    </rPh>
    <rPh sb="15" eb="17">
      <t>ヘンシン</t>
    </rPh>
    <rPh sb="17" eb="19">
      <t>カンリョウ</t>
    </rPh>
    <phoneticPr fontId="1"/>
  </si>
  <si>
    <t>　　利益：君の種族パワーのロングトゥース・シフティングの効果によって君が得る</t>
    <rPh sb="2" eb="4">
      <t>リエキ</t>
    </rPh>
    <rPh sb="5" eb="6">
      <t>キミ</t>
    </rPh>
    <rPh sb="7" eb="9">
      <t>シュゾク</t>
    </rPh>
    <rPh sb="28" eb="30">
      <t>コウカ</t>
    </rPh>
    <rPh sb="34" eb="35">
      <t>キミ</t>
    </rPh>
    <rPh sb="36" eb="37">
      <t>エ</t>
    </rPh>
    <phoneticPr fontId="1"/>
  </si>
  <si>
    <t>サブレテイニアン･サヴァイヴァル</t>
    <phoneticPr fontId="1"/>
  </si>
  <si>
    <t>ディープ・デルファー／汎用／　（未28）</t>
    <rPh sb="11" eb="13">
      <t>ハンヨウ</t>
    </rPh>
    <rPh sb="16" eb="17">
      <t>ミ</t>
    </rPh>
    <phoneticPr fontId="1"/>
  </si>
  <si>
    <t>フリー・アクション</t>
    <phoneticPr fontId="1"/>
  </si>
  <si>
    <t>[遭遇毎]◆［武勇］</t>
    <rPh sb="1" eb="3">
      <t>ソウグウ</t>
    </rPh>
    <rPh sb="3" eb="4">
      <t>マイ</t>
    </rPh>
    <rPh sb="7" eb="9">
      <t>ブユウ</t>
    </rPh>
    <phoneticPr fontId="1"/>
  </si>
  <si>
    <t>使用者が&lt;地下探検&gt;判定を行い、その結果が気に入らない。</t>
    <rPh sb="0" eb="2">
      <t>シヨウ</t>
    </rPh>
    <rPh sb="2" eb="3">
      <t>シャ</t>
    </rPh>
    <rPh sb="5" eb="7">
      <t>チカ</t>
    </rPh>
    <rPh sb="7" eb="9">
      <t>タンケン</t>
    </rPh>
    <rPh sb="10" eb="12">
      <t>ハンテイ</t>
    </rPh>
    <rPh sb="13" eb="14">
      <t>オコナ</t>
    </rPh>
    <rPh sb="18" eb="20">
      <t>ケッカ</t>
    </rPh>
    <rPh sb="21" eb="22">
      <t>キ</t>
    </rPh>
    <rPh sb="23" eb="24">
      <t>イ</t>
    </rPh>
    <phoneticPr fontId="1"/>
  </si>
  <si>
    <t>使用者はその&lt;地下探検&gt;判定を再ロールする。</t>
    <rPh sb="0" eb="2">
      <t>シヨウ</t>
    </rPh>
    <rPh sb="2" eb="3">
      <t>シャ</t>
    </rPh>
    <rPh sb="7" eb="9">
      <t>チカ</t>
    </rPh>
    <rPh sb="9" eb="11">
      <t>タンケン</t>
    </rPh>
    <rPh sb="12" eb="14">
      <t>ハンテイ</t>
    </rPh>
    <rPh sb="15" eb="16">
      <t>サイ</t>
    </rPh>
    <phoneticPr fontId="1"/>
  </si>
  <si>
    <t>地下探検／汎用／２　（未54）</t>
    <rPh sb="0" eb="2">
      <t>チカ</t>
    </rPh>
    <rPh sb="2" eb="4">
      <t>タンケン</t>
    </rPh>
    <rPh sb="5" eb="7">
      <t>ハンヨウ</t>
    </rPh>
    <rPh sb="11" eb="12">
      <t>ミ</t>
    </rPh>
    <phoneticPr fontId="1"/>
  </si>
  <si>
    <t>使用者は何らかの光源を運搬していなければならない</t>
    <rPh sb="0" eb="3">
      <t>シヨウシャ</t>
    </rPh>
    <rPh sb="4" eb="5">
      <t>ナン</t>
    </rPh>
    <rPh sb="8" eb="10">
      <t>コウゲン</t>
    </rPh>
    <rPh sb="11" eb="13">
      <t>ウンパン</t>
    </rPh>
    <phoneticPr fontId="1"/>
  </si>
  <si>
    <t>ベアズ・エンデュアランス</t>
    <phoneticPr fontId="1"/>
  </si>
  <si>
    <t>ウォーデン／汎用／６　（ＰＨⅡ72）</t>
    <rPh sb="6" eb="8">
      <t>ハンヨウ</t>
    </rPh>
    <phoneticPr fontId="1"/>
  </si>
  <si>
    <t>使用者のＨＰが０以下まで減少する。</t>
    <rPh sb="0" eb="2">
      <t>シヨウ</t>
    </rPh>
    <rPh sb="2" eb="3">
      <t>シャ</t>
    </rPh>
    <rPh sb="8" eb="10">
      <t>イカ</t>
    </rPh>
    <rPh sb="12" eb="14">
      <t>ゲンショウ</t>
    </rPh>
    <phoneticPr fontId="1"/>
  </si>
  <si>
    <t>使用者はまるで１回の回復力を消費したかのように、ＨＰが回復する。</t>
    <rPh sb="0" eb="2">
      <t>シヨウ</t>
    </rPh>
    <rPh sb="2" eb="3">
      <t>シャ</t>
    </rPh>
    <rPh sb="8" eb="9">
      <t>カイ</t>
    </rPh>
    <rPh sb="10" eb="13">
      <t>カイフクリョク</t>
    </rPh>
    <rPh sb="14" eb="16">
      <t>ショウヒ</t>
    </rPh>
    <rPh sb="27" eb="29">
      <t>カイフク</t>
    </rPh>
    <phoneticPr fontId="1"/>
  </si>
  <si>
    <t>ロングトゥース・シフティング</t>
    <phoneticPr fontId="1"/>
  </si>
  <si>
    <t>[遭遇毎]◆[回復]</t>
    <phoneticPr fontId="1"/>
  </si>
  <si>
    <t>マイナー・アクション</t>
    <phoneticPr fontId="1"/>
  </si>
  <si>
    <r>
      <t>　　　　　　</t>
    </r>
    <r>
      <rPr>
        <b/>
        <sz val="11"/>
        <color rgb="FFFF0000"/>
        <rFont val="ＭＳ Ｐゴシック"/>
        <family val="3"/>
        <charset val="128"/>
        <scheme val="minor"/>
      </rPr>
      <t>再生の値は２増加</t>
    </r>
    <r>
      <rPr>
        <sz val="11"/>
        <color theme="1"/>
        <rFont val="ＭＳ Ｐゴシック"/>
        <family val="2"/>
        <charset val="128"/>
        <scheme val="minor"/>
      </rPr>
      <t>する。</t>
    </r>
    <rPh sb="6" eb="8">
      <t>サイセイ</t>
    </rPh>
    <rPh sb="9" eb="10">
      <t>アタイ</t>
    </rPh>
    <rPh sb="12" eb="14">
      <t>ゾウカ</t>
    </rPh>
    <phoneticPr fontId="1"/>
  </si>
  <si>
    <t>重傷時クリティカル</t>
    <rPh sb="0" eb="2">
      <t>ジュウショウ</t>
    </rPh>
    <rPh sb="2" eb="3">
      <t>ジ</t>
    </rPh>
    <phoneticPr fontId="1"/>
  </si>
  <si>
    <t>自分が幻惑中には特に有効か？</t>
    <rPh sb="0" eb="2">
      <t>ジブン</t>
    </rPh>
    <rPh sb="3" eb="5">
      <t>ゲンワク</t>
    </rPh>
    <rPh sb="5" eb="6">
      <t>チュウ</t>
    </rPh>
    <rPh sb="8" eb="9">
      <t>トク</t>
    </rPh>
    <rPh sb="10" eb="12">
      <t>ユウコウ</t>
    </rPh>
    <phoneticPr fontId="1"/>
  </si>
  <si>
    <t>幻惑中でも機動力が本当に落ちない・・・。</t>
    <rPh sb="0" eb="2">
      <t>ゲンワク</t>
    </rPh>
    <rPh sb="2" eb="3">
      <t>チュウ</t>
    </rPh>
    <rPh sb="5" eb="8">
      <t>キドウリョク</t>
    </rPh>
    <rPh sb="9" eb="11">
      <t>ホントウ</t>
    </rPh>
    <rPh sb="12" eb="13">
      <t>オ</t>
    </rPh>
    <phoneticPr fontId="1"/>
  </si>
  <si>
    <t>コレと比べるとかなり見劣りしちゃうが、突撃だってかなり強力なんだゾ・・・。</t>
    <rPh sb="3" eb="4">
      <t>クラ</t>
    </rPh>
    <rPh sb="10" eb="12">
      <t>ミオト</t>
    </rPh>
    <rPh sb="19" eb="21">
      <t>トツゲキ</t>
    </rPh>
    <rPh sb="27" eb="29">
      <t>キョウリョク</t>
    </rPh>
    <phoneticPr fontId="1"/>
  </si>
  <si>
    <r>
      <t>目標は</t>
    </r>
    <r>
      <rPr>
        <b/>
        <sz val="11"/>
        <color rgb="FFFF0000"/>
        <rFont val="ＭＳ Ｐゴシック"/>
        <family val="3"/>
        <charset val="128"/>
        <scheme val="minor"/>
      </rPr>
      <t>自身のＴ終まで</t>
    </r>
    <r>
      <rPr>
        <sz val="11"/>
        <rFont val="ＭＳ Ｐゴシック"/>
        <family val="3"/>
        <charset val="128"/>
        <scheme val="minor"/>
      </rPr>
      <t>、減速状態となり、シフトを行うことが出来なくなる。</t>
    </r>
    <rPh sb="0" eb="2">
      <t>モクヒョウ</t>
    </rPh>
    <rPh sb="3" eb="5">
      <t>ジシン</t>
    </rPh>
    <rPh sb="7" eb="8">
      <t>シュウ</t>
    </rPh>
    <rPh sb="11" eb="13">
      <t>ゲンソク</t>
    </rPh>
    <rPh sb="13" eb="15">
      <t>ジョウタイ</t>
    </rPh>
    <rPh sb="23" eb="24">
      <t>オコナ</t>
    </rPh>
    <rPh sb="28" eb="30">
      <t>デキ</t>
    </rPh>
    <phoneticPr fontId="1"/>
  </si>
  <si>
    <r>
      <t>使用者ではなく</t>
    </r>
    <r>
      <rPr>
        <b/>
        <sz val="14"/>
        <color rgb="FFFF0000"/>
        <rFont val="HGP創英角ﾎﾟｯﾌﾟ体"/>
        <family val="3"/>
        <charset val="128"/>
      </rPr>
      <t>目標のターン終了時</t>
    </r>
    <r>
      <rPr>
        <b/>
        <sz val="12"/>
        <color rgb="FFFF0000"/>
        <rFont val="ＭＳ Ｐゴシック"/>
        <family val="3"/>
        <charset val="128"/>
        <scheme val="minor"/>
      </rPr>
      <t>に効果が終わってしまうので注意！</t>
    </r>
    <rPh sb="0" eb="2">
      <t>シヨウ</t>
    </rPh>
    <rPh sb="2" eb="3">
      <t>シャ</t>
    </rPh>
    <rPh sb="7" eb="9">
      <t>モクヒョウ</t>
    </rPh>
    <rPh sb="13" eb="16">
      <t>シュウリョウジ</t>
    </rPh>
    <rPh sb="17" eb="19">
      <t>コウカ</t>
    </rPh>
    <rPh sb="20" eb="21">
      <t>オ</t>
    </rPh>
    <rPh sb="29" eb="31">
      <t>チュウイ</t>
    </rPh>
    <phoneticPr fontId="1"/>
  </si>
  <si>
    <t>①トリガーは普通、目標のターンに引いてしまうので・・・</t>
    <rPh sb="6" eb="8">
      <t>フツウ</t>
    </rPh>
    <rPh sb="9" eb="11">
      <t>モクヒョウ</t>
    </rPh>
    <rPh sb="16" eb="17">
      <t>ヒ</t>
    </rPh>
    <phoneticPr fontId="1"/>
  </si>
  <si>
    <t>　シフト不可も既に敵の移動が終わっている可能性が高く、まず意味が無さそう・・・。</t>
    <rPh sb="4" eb="6">
      <t>フカ</t>
    </rPh>
    <rPh sb="7" eb="8">
      <t>スデ</t>
    </rPh>
    <rPh sb="9" eb="10">
      <t>テキ</t>
    </rPh>
    <rPh sb="11" eb="13">
      <t>イドウ</t>
    </rPh>
    <rPh sb="14" eb="15">
      <t>オ</t>
    </rPh>
    <rPh sb="20" eb="23">
      <t>カノウセイ</t>
    </rPh>
    <rPh sb="24" eb="25">
      <t>タカ</t>
    </rPh>
    <rPh sb="29" eb="31">
      <t>イミ</t>
    </rPh>
    <rPh sb="32" eb="33">
      <t>ナ</t>
    </rPh>
    <phoneticPr fontId="1"/>
  </si>
  <si>
    <t>　減速効果はウェイト・オヴ・アースが有効な相手であっても意味無しと思われる・・・。</t>
    <rPh sb="1" eb="3">
      <t>ゲンソク</t>
    </rPh>
    <rPh sb="3" eb="5">
      <t>コウカ</t>
    </rPh>
    <rPh sb="18" eb="20">
      <t>ユウコウ</t>
    </rPh>
    <rPh sb="21" eb="23">
      <t>アイテ</t>
    </rPh>
    <rPh sb="28" eb="30">
      <t>イミ</t>
    </rPh>
    <rPh sb="30" eb="31">
      <t>ナ</t>
    </rPh>
    <rPh sb="33" eb="34">
      <t>オモ</t>
    </rPh>
    <phoneticPr fontId="1"/>
  </si>
  <si>
    <t>　コレの直後にターンが終わる可能性が高く、範囲攻撃ポイントを作成するという意味では優秀なのか？</t>
    <rPh sb="4" eb="6">
      <t>チョクゴ</t>
    </rPh>
    <rPh sb="11" eb="12">
      <t>オ</t>
    </rPh>
    <rPh sb="14" eb="16">
      <t>カノウ</t>
    </rPh>
    <rPh sb="16" eb="17">
      <t>セイ</t>
    </rPh>
    <rPh sb="18" eb="19">
      <t>タカ</t>
    </rPh>
    <rPh sb="21" eb="23">
      <t>ハンイ</t>
    </rPh>
    <rPh sb="23" eb="25">
      <t>コウゲキ</t>
    </rPh>
    <rPh sb="30" eb="32">
      <t>サクセイ</t>
    </rPh>
    <rPh sb="37" eb="39">
      <t>イミ</t>
    </rPh>
    <rPh sb="41" eb="43">
      <t>ユウシュウ</t>
    </rPh>
    <phoneticPr fontId="1"/>
  </si>
  <si>
    <t>②機会攻撃をトリガーにすると・・・</t>
    <rPh sb="1" eb="3">
      <t>キカイ</t>
    </rPh>
    <rPh sb="3" eb="5">
      <t>コウゲキ</t>
    </rPh>
    <phoneticPr fontId="1"/>
  </si>
  <si>
    <t>　効果の持続時間が伸びる為、シフト不可と強制移動のコンボが生きてくるが、</t>
    <rPh sb="1" eb="3">
      <t>コウカ</t>
    </rPh>
    <rPh sb="4" eb="6">
      <t>ジゾク</t>
    </rPh>
    <rPh sb="6" eb="8">
      <t>ジカン</t>
    </rPh>
    <rPh sb="9" eb="10">
      <t>ノ</t>
    </rPh>
    <rPh sb="12" eb="13">
      <t>タメ</t>
    </rPh>
    <rPh sb="17" eb="19">
      <t>フカ</t>
    </rPh>
    <rPh sb="20" eb="22">
      <t>キョウセイ</t>
    </rPh>
    <rPh sb="22" eb="24">
      <t>イドウ</t>
    </rPh>
    <rPh sb="29" eb="30">
      <t>イ</t>
    </rPh>
    <phoneticPr fontId="1"/>
  </si>
  <si>
    <t>　無理矢理機会攻撃を誘発したくなる程の効果でも無いので正直ビミョー・・・。</t>
    <rPh sb="1" eb="5">
      <t>ムリヤリ</t>
    </rPh>
    <rPh sb="5" eb="9">
      <t>キカイコウゲキ</t>
    </rPh>
    <rPh sb="10" eb="12">
      <t>ユウハツ</t>
    </rPh>
    <rPh sb="17" eb="18">
      <t>ホド</t>
    </rPh>
    <rPh sb="19" eb="21">
      <t>コウカ</t>
    </rPh>
    <rPh sb="23" eb="24">
      <t>ナ</t>
    </rPh>
    <rPh sb="27" eb="29">
      <t>ショウジキ</t>
    </rPh>
    <phoneticPr fontId="1"/>
  </si>
  <si>
    <t>　結局、減速中の敵に対してホニャニャラ系のパワーとのコンボ用なのか？</t>
    <rPh sb="1" eb="3">
      <t>ケッキョク</t>
    </rPh>
    <rPh sb="4" eb="6">
      <t>ゲンソク</t>
    </rPh>
    <rPh sb="6" eb="7">
      <t>チュウ</t>
    </rPh>
    <rPh sb="8" eb="9">
      <t>テキ</t>
    </rPh>
    <rPh sb="10" eb="11">
      <t>タイ</t>
    </rPh>
    <rPh sb="19" eb="20">
      <t>ケイ</t>
    </rPh>
    <rPh sb="29" eb="30">
      <t>ヨウ</t>
    </rPh>
    <phoneticPr fontId="1"/>
  </si>
  <si>
    <r>
      <t>使用者の次Ｔ終まで、</t>
    </r>
    <r>
      <rPr>
        <b/>
        <sz val="11"/>
        <color rgb="FFFF0000"/>
        <rFont val="ＭＳ Ｐゴシック"/>
        <family val="3"/>
        <charset val="128"/>
        <scheme val="minor"/>
      </rPr>
      <t>すべての敵</t>
    </r>
    <r>
      <rPr>
        <sz val="11"/>
        <rFont val="ＭＳ Ｐゴシック"/>
        <family val="3"/>
        <charset val="128"/>
        <scheme val="minor"/>
      </rPr>
      <t>は使用者が運搬している光源の光によって</t>
    </r>
    <rPh sb="0" eb="2">
      <t>シヨウ</t>
    </rPh>
    <rPh sb="2" eb="3">
      <t>シャ</t>
    </rPh>
    <rPh sb="4" eb="5">
      <t>ジ</t>
    </rPh>
    <rPh sb="6" eb="7">
      <t>シュウ</t>
    </rPh>
    <rPh sb="14" eb="15">
      <t>テキ</t>
    </rPh>
    <rPh sb="16" eb="19">
      <t>シヨウシャ</t>
    </rPh>
    <rPh sb="20" eb="22">
      <t>ウンパン</t>
    </rPh>
    <rPh sb="26" eb="28">
      <t>コウゲン</t>
    </rPh>
    <rPh sb="29" eb="30">
      <t>ヒカリ</t>
    </rPh>
    <phoneticPr fontId="1"/>
  </si>
  <si>
    <r>
      <t>照らされている範囲にいる限り、</t>
    </r>
    <r>
      <rPr>
        <b/>
        <sz val="11"/>
        <color rgb="FFFF0000"/>
        <rFont val="ＭＳ Ｐゴシック"/>
        <family val="3"/>
        <charset val="128"/>
        <scheme val="minor"/>
      </rPr>
      <t>攻撃Ｒに－２</t>
    </r>
    <r>
      <rPr>
        <sz val="11"/>
        <color theme="1"/>
        <rFont val="ＭＳ Ｐゴシック"/>
        <family val="2"/>
        <charset val="128"/>
        <scheme val="minor"/>
      </rPr>
      <t>のペナルティを受ける。</t>
    </r>
    <rPh sb="0" eb="1">
      <t>テ</t>
    </rPh>
    <rPh sb="7" eb="9">
      <t>ハンイ</t>
    </rPh>
    <rPh sb="12" eb="13">
      <t>カギ</t>
    </rPh>
    <rPh sb="15" eb="17">
      <t>コウゲキ</t>
    </rPh>
    <rPh sb="28" eb="29">
      <t>ウ</t>
    </rPh>
    <phoneticPr fontId="1"/>
  </si>
  <si>
    <t>マイナーアクションの効果としては相当強力。</t>
    <rPh sb="10" eb="12">
      <t>コウカ</t>
    </rPh>
    <rPh sb="16" eb="18">
      <t>ソウトウ</t>
    </rPh>
    <rPh sb="18" eb="20">
      <t>キョウリョク</t>
    </rPh>
    <phoneticPr fontId="1"/>
  </si>
  <si>
    <t>ルール上は視覚的効果でない点が腑に落ちないが（笑）、範囲攻撃にまで効果があるのは本当に凄い。</t>
    <rPh sb="3" eb="4">
      <t>ジョウ</t>
    </rPh>
    <rPh sb="5" eb="7">
      <t>シカク</t>
    </rPh>
    <rPh sb="7" eb="8">
      <t>テキ</t>
    </rPh>
    <rPh sb="8" eb="10">
      <t>コウカ</t>
    </rPh>
    <rPh sb="13" eb="14">
      <t>テン</t>
    </rPh>
    <rPh sb="15" eb="16">
      <t>フ</t>
    </rPh>
    <rPh sb="17" eb="18">
      <t>オ</t>
    </rPh>
    <rPh sb="23" eb="24">
      <t>ワライ</t>
    </rPh>
    <rPh sb="26" eb="28">
      <t>ハンイ</t>
    </rPh>
    <rPh sb="28" eb="30">
      <t>コウゲキ</t>
    </rPh>
    <rPh sb="33" eb="35">
      <t>コウカ</t>
    </rPh>
    <rPh sb="40" eb="42">
      <t>ホントウ</t>
    </rPh>
    <rPh sb="43" eb="44">
      <t>スゴ</t>
    </rPh>
    <phoneticPr fontId="1"/>
  </si>
  <si>
    <t>マークを始め他のいかなるペナルティとも重複するので、かなり使い易いと言えるだろう。</t>
    <rPh sb="4" eb="5">
      <t>ハジ</t>
    </rPh>
    <rPh sb="6" eb="7">
      <t>ホカ</t>
    </rPh>
    <rPh sb="19" eb="21">
      <t>チョウフク</t>
    </rPh>
    <rPh sb="29" eb="30">
      <t>ツカ</t>
    </rPh>
    <rPh sb="31" eb="32">
      <t>ヤス</t>
    </rPh>
    <rPh sb="34" eb="35">
      <t>イ</t>
    </rPh>
    <phoneticPr fontId="1"/>
  </si>
  <si>
    <t>回復力を消費せずに気絶を無理矢理回避できるのはかなり優秀。</t>
    <rPh sb="0" eb="2">
      <t>カイフク</t>
    </rPh>
    <rPh sb="2" eb="3">
      <t>リョク</t>
    </rPh>
    <rPh sb="4" eb="6">
      <t>ショウヒ</t>
    </rPh>
    <rPh sb="9" eb="11">
      <t>キゼツ</t>
    </rPh>
    <rPh sb="12" eb="16">
      <t>ムリヤリ</t>
    </rPh>
    <rPh sb="16" eb="18">
      <t>カイヒ</t>
    </rPh>
    <rPh sb="26" eb="28">
      <t>ユウシュウ</t>
    </rPh>
    <phoneticPr fontId="1"/>
  </si>
  <si>
    <t>ウォーデンのクラス特徴と再生のお陰で重傷中の踏ん張り能力はパーティ中随一である事と合わせて</t>
    <rPh sb="9" eb="11">
      <t>トクチョウ</t>
    </rPh>
    <rPh sb="12" eb="14">
      <t>サイセイ</t>
    </rPh>
    <rPh sb="16" eb="17">
      <t>カゲ</t>
    </rPh>
    <phoneticPr fontId="1"/>
  </si>
  <si>
    <t>ピンチへの耐性は恐ろしく高いと言えるだろう。</t>
    <rPh sb="5" eb="7">
      <t>タイセイ</t>
    </rPh>
    <rPh sb="8" eb="9">
      <t>オソ</t>
    </rPh>
    <rPh sb="12" eb="13">
      <t>タカ</t>
    </rPh>
    <rPh sb="15" eb="16">
      <t>イ</t>
    </rPh>
    <phoneticPr fontId="1"/>
  </si>
  <si>
    <r>
      <t>割り込むのは気絶に対してであって、ＨＰは一旦</t>
    </r>
    <r>
      <rPr>
        <b/>
        <sz val="16"/>
        <color rgb="FFFF0000"/>
        <rFont val="HGP創英角ﾎﾟｯﾌﾟ体"/>
        <family val="3"/>
        <charset val="128"/>
      </rPr>
      <t>０</t>
    </r>
    <r>
      <rPr>
        <b/>
        <sz val="12"/>
        <color rgb="FFFF0000"/>
        <rFont val="ＭＳ Ｐゴシック"/>
        <family val="3"/>
        <charset val="128"/>
        <scheme val="minor"/>
      </rPr>
      <t>以下にはなっている！</t>
    </r>
    <rPh sb="0" eb="1">
      <t>ワ</t>
    </rPh>
    <rPh sb="2" eb="3">
      <t>コ</t>
    </rPh>
    <rPh sb="6" eb="8">
      <t>キゼツ</t>
    </rPh>
    <rPh sb="9" eb="10">
      <t>タイ</t>
    </rPh>
    <rPh sb="20" eb="22">
      <t>イッタン</t>
    </rPh>
    <rPh sb="23" eb="25">
      <t>イカ</t>
    </rPh>
    <phoneticPr fontId="1"/>
  </si>
  <si>
    <t>使える時に使うだけ。</t>
    <rPh sb="0" eb="1">
      <t>ツカ</t>
    </rPh>
    <rPh sb="3" eb="4">
      <t>トキ</t>
    </rPh>
    <rPh sb="5" eb="6">
      <t>ツカ</t>
    </rPh>
    <phoneticPr fontId="1"/>
  </si>
  <si>
    <t>回復力消費をトリガーとする効果と併用不可である点は注意！</t>
    <rPh sb="0" eb="3">
      <t>カイフクリョク</t>
    </rPh>
    <rPh sb="3" eb="5">
      <t>ショウヒ</t>
    </rPh>
    <rPh sb="13" eb="15">
      <t>コウカ</t>
    </rPh>
    <rPh sb="16" eb="18">
      <t>ヘイヨウ</t>
    </rPh>
    <rPh sb="18" eb="20">
      <t>フカ</t>
    </rPh>
    <rPh sb="23" eb="24">
      <t>テン</t>
    </rPh>
    <rPh sb="25" eb="27">
      <t>チュウイ</t>
    </rPh>
    <phoneticPr fontId="1"/>
  </si>
  <si>
    <t>幻惑、朦朧にも弱いので万能とは言い難いか？</t>
    <rPh sb="0" eb="2">
      <t>ゲンワク</t>
    </rPh>
    <rPh sb="3" eb="5">
      <t>モウロウ</t>
    </rPh>
    <rPh sb="7" eb="8">
      <t>ヨワ</t>
    </rPh>
    <rPh sb="11" eb="13">
      <t>バンノウ</t>
    </rPh>
    <rPh sb="15" eb="16">
      <t>イ</t>
    </rPh>
    <rPh sb="17" eb="18">
      <t>ガタ</t>
    </rPh>
    <phoneticPr fontId="1"/>
  </si>
  <si>
    <t>　攻撃の後効果にシフトや移動が付いていた場合は問題無く妨害できる訳なのだが。</t>
    <rPh sb="1" eb="3">
      <t>コウゲキ</t>
    </rPh>
    <rPh sb="4" eb="5">
      <t>アト</t>
    </rPh>
    <rPh sb="5" eb="7">
      <t>コウカ</t>
    </rPh>
    <rPh sb="12" eb="14">
      <t>イドウ</t>
    </rPh>
    <rPh sb="15" eb="16">
      <t>ツ</t>
    </rPh>
    <rPh sb="20" eb="22">
      <t>バアイ</t>
    </rPh>
    <rPh sb="23" eb="25">
      <t>モンダイ</t>
    </rPh>
    <rPh sb="25" eb="26">
      <t>ナ</t>
    </rPh>
    <rPh sb="27" eb="29">
      <t>ボウガイ</t>
    </rPh>
    <rPh sb="32" eb="33">
      <t>ワケ</t>
    </rPh>
    <phoneticPr fontId="1"/>
  </si>
  <si>
    <t>　つまり、このパワーを発動しても強制移動しか意味が無さそうって事になってしまう。</t>
    <rPh sb="11" eb="13">
      <t>ハツドウ</t>
    </rPh>
    <rPh sb="16" eb="18">
      <t>キョウセイ</t>
    </rPh>
    <rPh sb="18" eb="20">
      <t>イドウ</t>
    </rPh>
    <rPh sb="22" eb="24">
      <t>イミ</t>
    </rPh>
    <rPh sb="25" eb="26">
      <t>ナ</t>
    </rPh>
    <rPh sb="31" eb="32">
      <t>コト</t>
    </rPh>
    <phoneticPr fontId="1"/>
  </si>
  <si>
    <t>あって良かった間合い武器！　目標と隣接する必要が全く無くてハラショー！</t>
    <rPh sb="3" eb="4">
      <t>ヨ</t>
    </rPh>
    <rPh sb="7" eb="9">
      <t>マア</t>
    </rPh>
    <rPh sb="10" eb="12">
      <t>ブキ</t>
    </rPh>
    <rPh sb="14" eb="16">
      <t>モクヒョウ</t>
    </rPh>
    <rPh sb="17" eb="19">
      <t>リンセツ</t>
    </rPh>
    <rPh sb="21" eb="23">
      <t>ヒツヨウ</t>
    </rPh>
    <rPh sb="24" eb="25">
      <t>マッタ</t>
    </rPh>
    <rPh sb="26" eb="27">
      <t>ナ</t>
    </rPh>
    <phoneticPr fontId="1"/>
  </si>
  <si>
    <t>このパワーの為に機会攻撃を無理矢理誘発すべきか否か？</t>
    <rPh sb="6" eb="7">
      <t>タメ</t>
    </rPh>
    <rPh sb="8" eb="10">
      <t>キカイ</t>
    </rPh>
    <rPh sb="10" eb="12">
      <t>コウゲキ</t>
    </rPh>
    <rPh sb="13" eb="17">
      <t>ムリヤリ</t>
    </rPh>
    <rPh sb="17" eb="19">
      <t>ユウハツ</t>
    </rPh>
    <rPh sb="23" eb="24">
      <t>イナ</t>
    </rPh>
    <phoneticPr fontId="1"/>
  </si>
  <si>
    <t>②オテギヌがチョロＱやりたい場合</t>
    <rPh sb="14" eb="16">
      <t>バアイ</t>
    </rPh>
    <phoneticPr fontId="1"/>
  </si>
  <si>
    <t>　　アイアーで脆弱性付いていたり追加ダメージ入ったりするならば、積極的に狙うの全然アリ。</t>
    <rPh sb="7" eb="10">
      <t>ゼイジャクセイ</t>
    </rPh>
    <rPh sb="10" eb="11">
      <t>ツ</t>
    </rPh>
    <rPh sb="16" eb="18">
      <t>ツイカ</t>
    </rPh>
    <rPh sb="22" eb="23">
      <t>ハイ</t>
    </rPh>
    <rPh sb="32" eb="35">
      <t>セッキョクテキ</t>
    </rPh>
    <rPh sb="36" eb="37">
      <t>ネラ</t>
    </rPh>
    <rPh sb="39" eb="41">
      <t>ゼンゼン</t>
    </rPh>
    <phoneticPr fontId="1"/>
  </si>
  <si>
    <t>③アールジェイが誘発したい場合</t>
    <rPh sb="8" eb="10">
      <t>ユウハツ</t>
    </rPh>
    <rPh sb="13" eb="15">
      <t>バアイ</t>
    </rPh>
    <phoneticPr fontId="1"/>
  </si>
  <si>
    <t>①機会攻撃を喰らってでも、どうしてもやりたい事が味方にある場合</t>
    <rPh sb="1" eb="3">
      <t>キカイ</t>
    </rPh>
    <rPh sb="3" eb="5">
      <t>コウゲキ</t>
    </rPh>
    <rPh sb="6" eb="7">
      <t>ク</t>
    </rPh>
    <rPh sb="22" eb="23">
      <t>コト</t>
    </rPh>
    <rPh sb="24" eb="26">
      <t>ミカタ</t>
    </rPh>
    <rPh sb="29" eb="31">
      <t>バアイ</t>
    </rPh>
    <phoneticPr fontId="1"/>
  </si>
  <si>
    <t>　　心衣、重刀剣練達、マイナー底力、伏せ、etc　・・・とボーナスに事欠かないので、</t>
    <rPh sb="5" eb="6">
      <t>オモ</t>
    </rPh>
    <rPh sb="6" eb="8">
      <t>トウケン</t>
    </rPh>
    <rPh sb="8" eb="10">
      <t>レンタツ</t>
    </rPh>
    <rPh sb="15" eb="17">
      <t>ソコヂカラ</t>
    </rPh>
    <rPh sb="18" eb="19">
      <t>フ</t>
    </rPh>
    <rPh sb="34" eb="35">
      <t>コト</t>
    </rPh>
    <rPh sb="35" eb="36">
      <t>カ</t>
    </rPh>
    <phoneticPr fontId="1"/>
  </si>
  <si>
    <t>　　狙える時に狙うのはアリと言える。　マークの分担が難しいのだが。</t>
    <rPh sb="2" eb="3">
      <t>ネラ</t>
    </rPh>
    <rPh sb="5" eb="6">
      <t>トキ</t>
    </rPh>
    <rPh sb="7" eb="8">
      <t>ネラ</t>
    </rPh>
    <rPh sb="14" eb="15">
      <t>イ</t>
    </rPh>
    <rPh sb="23" eb="25">
      <t>ブンタン</t>
    </rPh>
    <rPh sb="26" eb="27">
      <t>ムズカ</t>
    </rPh>
    <phoneticPr fontId="1"/>
  </si>
  <si>
    <r>
      <t>この攻撃の前に使用者は</t>
    </r>
    <r>
      <rPr>
        <b/>
        <sz val="11"/>
        <color rgb="FFFF0000"/>
        <rFont val="ＭＳ Ｐゴシック"/>
        <family val="3"/>
        <charset val="128"/>
        <scheme val="minor"/>
      </rPr>
      <t>５マス瞬間移動</t>
    </r>
    <r>
      <rPr>
        <sz val="11"/>
        <color theme="1"/>
        <rFont val="ＭＳ Ｐゴシック"/>
        <family val="2"/>
        <charset val="128"/>
        <scheme val="minor"/>
      </rPr>
      <t>する。</t>
    </r>
    <rPh sb="2" eb="4">
      <t>コウゲキ</t>
    </rPh>
    <rPh sb="5" eb="6">
      <t>マエ</t>
    </rPh>
    <rPh sb="7" eb="9">
      <t>シヨウ</t>
    </rPh>
    <rPh sb="9" eb="10">
      <t>シャ</t>
    </rPh>
    <rPh sb="14" eb="16">
      <t>シュンカン</t>
    </rPh>
    <rPh sb="16" eb="18">
      <t>イドウ</t>
    </rPh>
    <phoneticPr fontId="1"/>
  </si>
  <si>
    <t>③対反応かつ半減ダメージ</t>
    <rPh sb="1" eb="2">
      <t>タイ</t>
    </rPh>
    <rPh sb="2" eb="3">
      <t>ハン</t>
    </rPh>
    <rPh sb="3" eb="4">
      <t>オウ</t>
    </rPh>
    <rPh sb="6" eb="8">
      <t>ハンゲン</t>
    </rPh>
    <phoneticPr fontId="1"/>
  </si>
  <si>
    <t>①対ＡＣ故に兵士役にはあまり使いたくない</t>
    <rPh sb="1" eb="2">
      <t>タイ</t>
    </rPh>
    <rPh sb="4" eb="5">
      <t>ユエ</t>
    </rPh>
    <rPh sb="6" eb="8">
      <t>ヘイシ</t>
    </rPh>
    <rPh sb="8" eb="9">
      <t>ヤク</t>
    </rPh>
    <rPh sb="14" eb="15">
      <t>ツカ</t>
    </rPh>
    <phoneticPr fontId="1"/>
  </si>
  <si>
    <t>　　機動力を活かして回避し、暴れ役や射撃役を狙うのがベター。</t>
    <rPh sb="2" eb="5">
      <t>キドウリョク</t>
    </rPh>
    <rPh sb="6" eb="7">
      <t>イ</t>
    </rPh>
    <rPh sb="10" eb="12">
      <t>カイヒ</t>
    </rPh>
    <rPh sb="14" eb="15">
      <t>アバ</t>
    </rPh>
    <rPh sb="16" eb="17">
      <t>ヤク</t>
    </rPh>
    <rPh sb="18" eb="20">
      <t>シャゲキ</t>
    </rPh>
    <rPh sb="20" eb="21">
      <t>ヤク</t>
    </rPh>
    <rPh sb="22" eb="23">
      <t>ネラ</t>
    </rPh>
    <phoneticPr fontId="1"/>
  </si>
  <si>
    <t>②味方が既に唾を付けている敵を狙う</t>
    <rPh sb="1" eb="3">
      <t>ミカタ</t>
    </rPh>
    <rPh sb="4" eb="5">
      <t>スデ</t>
    </rPh>
    <rPh sb="6" eb="7">
      <t>ツバ</t>
    </rPh>
    <rPh sb="8" eb="9">
      <t>ツ</t>
    </rPh>
    <rPh sb="13" eb="14">
      <t>テキ</t>
    </rPh>
    <rPh sb="15" eb="16">
      <t>ネラ</t>
    </rPh>
    <phoneticPr fontId="1"/>
  </si>
  <si>
    <t>　　このパワーのお陰で断頭台なんかも魅力的に思えてくる・・・。</t>
    <rPh sb="9" eb="10">
      <t>カゲ</t>
    </rPh>
    <rPh sb="11" eb="12">
      <t>ダン</t>
    </rPh>
    <rPh sb="12" eb="13">
      <t>アタマ</t>
    </rPh>
    <rPh sb="13" eb="14">
      <t>ダイ</t>
    </rPh>
    <rPh sb="18" eb="21">
      <t>ミリョクテキ</t>
    </rPh>
    <rPh sb="22" eb="23">
      <t>オモ</t>
    </rPh>
    <phoneticPr fontId="1"/>
  </si>
  <si>
    <t>③手負いの敵を追い込むのがメインの用途</t>
    <rPh sb="1" eb="3">
      <t>テオ</t>
    </rPh>
    <rPh sb="5" eb="6">
      <t>テキ</t>
    </rPh>
    <rPh sb="7" eb="8">
      <t>オ</t>
    </rPh>
    <rPh sb="9" eb="10">
      <t>コ</t>
    </rPh>
    <rPh sb="17" eb="19">
      <t>ヨウト</t>
    </rPh>
    <phoneticPr fontId="1"/>
  </si>
  <si>
    <t>　　２発とも当たれば敵が落ちるか落ちないか位のタイミングで使うのが理想的で、</t>
    <rPh sb="3" eb="4">
      <t>ハツ</t>
    </rPh>
    <rPh sb="6" eb="7">
      <t>ア</t>
    </rPh>
    <rPh sb="10" eb="11">
      <t>テキ</t>
    </rPh>
    <rPh sb="12" eb="13">
      <t>オ</t>
    </rPh>
    <rPh sb="16" eb="17">
      <t>オ</t>
    </rPh>
    <rPh sb="21" eb="22">
      <t>クライ</t>
    </rPh>
    <rPh sb="29" eb="30">
      <t>ツカ</t>
    </rPh>
    <rPh sb="33" eb="36">
      <t>リソウテキ</t>
    </rPh>
    <phoneticPr fontId="1"/>
  </si>
  <si>
    <t>　　そもそもアールジェイと違って、ＡＣの高い敵とのド突き合いが超苦手・・・。</t>
    <rPh sb="13" eb="14">
      <t>チガ</t>
    </rPh>
    <rPh sb="20" eb="21">
      <t>タカ</t>
    </rPh>
    <rPh sb="22" eb="23">
      <t>テキ</t>
    </rPh>
    <rPh sb="26" eb="27">
      <t>ツ</t>
    </rPh>
    <rPh sb="28" eb="29">
      <t>ア</t>
    </rPh>
    <rPh sb="31" eb="32">
      <t>チョウ</t>
    </rPh>
    <rPh sb="32" eb="34">
      <t>ニガテ</t>
    </rPh>
    <phoneticPr fontId="1"/>
  </si>
  <si>
    <t>　　ＡＣは高く無い事が多い暴れ役のＨＰを遭遇の序盤で素早く削れると嬉しいのだが・・・。</t>
    <rPh sb="5" eb="6">
      <t>タカ</t>
    </rPh>
    <rPh sb="7" eb="8">
      <t>ナ</t>
    </rPh>
    <rPh sb="9" eb="10">
      <t>コト</t>
    </rPh>
    <rPh sb="11" eb="12">
      <t>オオ</t>
    </rPh>
    <rPh sb="13" eb="14">
      <t>アバ</t>
    </rPh>
    <rPh sb="15" eb="16">
      <t>ヤク</t>
    </rPh>
    <rPh sb="20" eb="22">
      <t>ソウグウ</t>
    </rPh>
    <rPh sb="23" eb="25">
      <t>ジョバン</t>
    </rPh>
    <rPh sb="26" eb="28">
      <t>スバヤ</t>
    </rPh>
    <rPh sb="29" eb="30">
      <t>ケズ</t>
    </rPh>
    <rPh sb="33" eb="34">
      <t>ウレ</t>
    </rPh>
    <phoneticPr fontId="1"/>
  </si>
  <si>
    <t>　　味方の効果で追加ダメージが入る時（このパーティならばチャンスが多いハズ）が特に狙い目。</t>
    <rPh sb="2" eb="4">
      <t>ミカタ</t>
    </rPh>
    <rPh sb="5" eb="7">
      <t>コウカ</t>
    </rPh>
    <rPh sb="8" eb="10">
      <t>ツイカ</t>
    </rPh>
    <rPh sb="15" eb="16">
      <t>ハイ</t>
    </rPh>
    <rPh sb="17" eb="18">
      <t>トキ</t>
    </rPh>
    <rPh sb="33" eb="34">
      <t>オオ</t>
    </rPh>
    <rPh sb="39" eb="40">
      <t>トク</t>
    </rPh>
    <rPh sb="41" eb="42">
      <t>ネラ</t>
    </rPh>
    <rPh sb="43" eb="44">
      <t>メ</t>
    </rPh>
    <phoneticPr fontId="1"/>
  </si>
  <si>
    <t>　　指揮役の応援があれば、瞬間最大風速はオテギヌ越えも全然夢じゃない！</t>
    <rPh sb="2" eb="4">
      <t>シキ</t>
    </rPh>
    <rPh sb="4" eb="5">
      <t>ヤク</t>
    </rPh>
    <rPh sb="6" eb="8">
      <t>オウエン</t>
    </rPh>
    <rPh sb="13" eb="15">
      <t>シュンカン</t>
    </rPh>
    <rPh sb="15" eb="17">
      <t>サイダイ</t>
    </rPh>
    <rPh sb="17" eb="19">
      <t>フウソク</t>
    </rPh>
    <rPh sb="24" eb="25">
      <t>コ</t>
    </rPh>
    <rPh sb="27" eb="29">
      <t>ゼンゼン</t>
    </rPh>
    <rPh sb="29" eb="30">
      <t>ユメ</t>
    </rPh>
    <phoneticPr fontId="1"/>
  </si>
  <si>
    <t>　　ピンピンしている敵にはダメージ以外の効果もあるパワーを使った方が良さそう。</t>
    <rPh sb="10" eb="11">
      <t>テキ</t>
    </rPh>
    <rPh sb="17" eb="19">
      <t>イガイ</t>
    </rPh>
    <rPh sb="20" eb="22">
      <t>コウカ</t>
    </rPh>
    <rPh sb="29" eb="30">
      <t>ツカ</t>
    </rPh>
    <rPh sb="32" eb="33">
      <t>ホウ</t>
    </rPh>
    <rPh sb="34" eb="35">
      <t>ヨ</t>
    </rPh>
    <phoneticPr fontId="1"/>
  </si>
  <si>
    <t>シフト中に辻マーク可能（幻惑中でもお構い無し）な点も見逃せない。</t>
    <rPh sb="3" eb="4">
      <t>チュウ</t>
    </rPh>
    <rPh sb="5" eb="6">
      <t>ツジ</t>
    </rPh>
    <rPh sb="9" eb="11">
      <t>カノウ</t>
    </rPh>
    <rPh sb="12" eb="14">
      <t>ゲンワク</t>
    </rPh>
    <rPh sb="14" eb="15">
      <t>チュウ</t>
    </rPh>
    <rPh sb="18" eb="19">
      <t>カマ</t>
    </rPh>
    <rPh sb="20" eb="21">
      <t>ナ</t>
    </rPh>
    <rPh sb="24" eb="25">
      <t>テン</t>
    </rPh>
    <rPh sb="26" eb="28">
      <t>ミノガ</t>
    </rPh>
    <phoneticPr fontId="1"/>
  </si>
  <si>
    <t>地続きならば、ほとんど何処にでも突っ込んで行ける奇跡のパワー。</t>
    <rPh sb="0" eb="2">
      <t>ジツヅ</t>
    </rPh>
    <rPh sb="11" eb="13">
      <t>ドコ</t>
    </rPh>
    <rPh sb="16" eb="17">
      <t>ツ</t>
    </rPh>
    <rPh sb="18" eb="19">
      <t>コ</t>
    </rPh>
    <rPh sb="21" eb="22">
      <t>イ</t>
    </rPh>
    <rPh sb="24" eb="26">
      <t>キセキ</t>
    </rPh>
    <phoneticPr fontId="1"/>
  </si>
  <si>
    <t>③ルール上は敵の移動中に割り込む形となるので、このパワーの後にも機会攻撃のチャンス一応有。</t>
    <rPh sb="4" eb="5">
      <t>ジョウ</t>
    </rPh>
    <rPh sb="6" eb="7">
      <t>テキ</t>
    </rPh>
    <rPh sb="8" eb="10">
      <t>イドウ</t>
    </rPh>
    <rPh sb="10" eb="11">
      <t>チュウ</t>
    </rPh>
    <rPh sb="12" eb="13">
      <t>ワ</t>
    </rPh>
    <rPh sb="14" eb="15">
      <t>コ</t>
    </rPh>
    <rPh sb="16" eb="17">
      <t>カタチ</t>
    </rPh>
    <rPh sb="29" eb="30">
      <t>アト</t>
    </rPh>
    <rPh sb="32" eb="34">
      <t>キカイ</t>
    </rPh>
    <rPh sb="34" eb="36">
      <t>コウゲキ</t>
    </rPh>
    <rPh sb="41" eb="43">
      <t>イチオウ</t>
    </rPh>
    <rPh sb="43" eb="44">
      <t>アリ</t>
    </rPh>
    <phoneticPr fontId="1"/>
  </si>
  <si>
    <t>①敵と隣接しなければ攻撃無し！　つまり間合いの意味全く無し！</t>
    <rPh sb="1" eb="2">
      <t>テキ</t>
    </rPh>
    <rPh sb="3" eb="5">
      <t>リンセツ</t>
    </rPh>
    <rPh sb="10" eb="12">
      <t>コウゲキ</t>
    </rPh>
    <rPh sb="12" eb="13">
      <t>ナ</t>
    </rPh>
    <rPh sb="19" eb="21">
      <t>マア</t>
    </rPh>
    <rPh sb="23" eb="25">
      <t>イミ</t>
    </rPh>
    <rPh sb="25" eb="26">
      <t>マッタ</t>
    </rPh>
    <rPh sb="27" eb="28">
      <t>ナ</t>
    </rPh>
    <phoneticPr fontId="1"/>
  </si>
  <si>
    <t>②移動力が必要！　幻惑だけでなく、減速や不動、伏せでまで無効化されてしまう・・・。</t>
    <rPh sb="1" eb="3">
      <t>イドウ</t>
    </rPh>
    <rPh sb="3" eb="4">
      <t>リョク</t>
    </rPh>
    <rPh sb="5" eb="7">
      <t>ヒツヨウ</t>
    </rPh>
    <rPh sb="9" eb="11">
      <t>ゲンワク</t>
    </rPh>
    <rPh sb="17" eb="19">
      <t>ゲンソク</t>
    </rPh>
    <rPh sb="20" eb="22">
      <t>フドウ</t>
    </rPh>
    <rPh sb="23" eb="24">
      <t>フ</t>
    </rPh>
    <rPh sb="28" eb="31">
      <t>ムコウカ</t>
    </rPh>
    <phoneticPr fontId="1"/>
  </si>
  <si>
    <t>④敵の突撃に割り込むのが解り易い使用法。</t>
    <rPh sb="1" eb="2">
      <t>テキ</t>
    </rPh>
    <rPh sb="3" eb="5">
      <t>トツゲキ</t>
    </rPh>
    <rPh sb="6" eb="7">
      <t>ワ</t>
    </rPh>
    <rPh sb="8" eb="9">
      <t>コ</t>
    </rPh>
    <rPh sb="12" eb="13">
      <t>ワカ</t>
    </rPh>
    <rPh sb="14" eb="15">
      <t>ヤス</t>
    </rPh>
    <rPh sb="16" eb="19">
      <t>シヨウホウ</t>
    </rPh>
    <phoneticPr fontId="1"/>
  </si>
  <si>
    <t>⑤敵が範囲攻撃を放つ直前に使えると効果が非常に大きい！</t>
    <rPh sb="1" eb="2">
      <t>テキ</t>
    </rPh>
    <rPh sb="3" eb="5">
      <t>ハンイ</t>
    </rPh>
    <rPh sb="5" eb="7">
      <t>コウゲキ</t>
    </rPh>
    <rPh sb="8" eb="9">
      <t>ハナ</t>
    </rPh>
    <rPh sb="10" eb="12">
      <t>チョクゼン</t>
    </rPh>
    <rPh sb="13" eb="14">
      <t>ツカ</t>
    </rPh>
    <rPh sb="17" eb="19">
      <t>コウカ</t>
    </rPh>
    <rPh sb="20" eb="22">
      <t>ヒジョウ</t>
    </rPh>
    <rPh sb="23" eb="24">
      <t>オオ</t>
    </rPh>
    <phoneticPr fontId="1"/>
  </si>
  <si>
    <t>⑥ターン終了まで効果が持続する為、敵のＡＰ使用を抑止する効果まである！</t>
    <rPh sb="4" eb="6">
      <t>シュウリョウ</t>
    </rPh>
    <rPh sb="8" eb="10">
      <t>コウカ</t>
    </rPh>
    <rPh sb="11" eb="13">
      <t>ジゾク</t>
    </rPh>
    <rPh sb="15" eb="16">
      <t>タメ</t>
    </rPh>
    <rPh sb="17" eb="18">
      <t>テキ</t>
    </rPh>
    <rPh sb="21" eb="23">
      <t>シヨウ</t>
    </rPh>
    <rPh sb="24" eb="26">
      <t>ヨクシ</t>
    </rPh>
    <rPh sb="28" eb="30">
      <t>コウカ</t>
    </rPh>
    <phoneticPr fontId="1"/>
  </si>
  <si>
    <t>※大自然の怒り(PHⅡ67)</t>
    <rPh sb="1" eb="4">
      <t>ダイシゼン</t>
    </rPh>
    <rPh sb="5" eb="6">
      <t>イカ</t>
    </rPh>
    <phoneticPr fontId="1"/>
  </si>
  <si>
    <t>　　　君の各Tに１回、君は１回のFAとして、隣接するすべての敵をマークする事ができる。</t>
    <rPh sb="3" eb="4">
      <t>キミ</t>
    </rPh>
    <rPh sb="5" eb="6">
      <t>カク</t>
    </rPh>
    <rPh sb="9" eb="10">
      <t>カイ</t>
    </rPh>
    <rPh sb="11" eb="12">
      <t>キミ</t>
    </rPh>
    <rPh sb="14" eb="15">
      <t>カイ</t>
    </rPh>
    <rPh sb="22" eb="24">
      <t>リンセツ</t>
    </rPh>
    <rPh sb="30" eb="31">
      <t>テキ</t>
    </rPh>
    <rPh sb="37" eb="38">
      <t>コト</t>
    </rPh>
    <phoneticPr fontId="1"/>
  </si>
  <si>
    <t>　　　このマークは君の次T終まで継続する。</t>
    <rPh sb="9" eb="10">
      <t>キミ</t>
    </rPh>
    <rPh sb="11" eb="12">
      <t>ジ</t>
    </rPh>
    <rPh sb="13" eb="14">
      <t>シュウ</t>
    </rPh>
    <rPh sb="16" eb="18">
      <t>ケイゾク</t>
    </rPh>
    <phoneticPr fontId="1"/>
  </si>
  <si>
    <t>使用者はトリガーを発生させた敵に隣接するマス目へ、自身の移動速度分のシフトを行い</t>
    <rPh sb="0" eb="2">
      <t>シヨウ</t>
    </rPh>
    <rPh sb="2" eb="3">
      <t>シャ</t>
    </rPh>
    <rPh sb="9" eb="11">
      <t>ハッセイ</t>
    </rPh>
    <rPh sb="14" eb="15">
      <t>テキ</t>
    </rPh>
    <rPh sb="16" eb="18">
      <t>リンセツ</t>
    </rPh>
    <rPh sb="22" eb="23">
      <t>メ</t>
    </rPh>
    <rPh sb="25" eb="27">
      <t>ジシン</t>
    </rPh>
    <rPh sb="28" eb="30">
      <t>イドウ</t>
    </rPh>
    <rPh sb="30" eb="32">
      <t>ソクド</t>
    </rPh>
    <rPh sb="32" eb="33">
      <t>ブン</t>
    </rPh>
    <rPh sb="38" eb="39">
      <t>オコナ</t>
    </rPh>
    <phoneticPr fontId="1"/>
  </si>
  <si>
    <t>以下の攻撃を行う。</t>
    <rPh sb="0" eb="2">
      <t>イカ</t>
    </rPh>
    <rPh sb="3" eb="5">
      <t>コウゲキ</t>
    </rPh>
    <rPh sb="6" eb="7">
      <t>オコナ</t>
    </rPh>
    <phoneticPr fontId="1"/>
  </si>
  <si>
    <t>使用者はこの遭遇の終了時まで”オーク樹の守護戦士”の守護者形態をとる。</t>
    <rPh sb="0" eb="2">
      <t>シヨウ</t>
    </rPh>
    <rPh sb="2" eb="3">
      <t>シャ</t>
    </rPh>
    <rPh sb="6" eb="8">
      <t>ソウグウ</t>
    </rPh>
    <rPh sb="9" eb="12">
      <t>シュウリョウジ</t>
    </rPh>
    <rPh sb="18" eb="19">
      <t>キ</t>
    </rPh>
    <rPh sb="20" eb="22">
      <t>シュゴ</t>
    </rPh>
    <rPh sb="22" eb="24">
      <t>センシ</t>
    </rPh>
    <rPh sb="26" eb="29">
      <t>シュゴシャ</t>
    </rPh>
    <rPh sb="29" eb="31">
      <t>ケイタイ</t>
    </rPh>
    <phoneticPr fontId="1"/>
  </si>
  <si>
    <r>
      <t>使用者はこの形態にある間、</t>
    </r>
    <r>
      <rPr>
        <b/>
        <sz val="11"/>
        <color rgb="FFFF0000"/>
        <rFont val="ＭＳ Ｐゴシック"/>
        <family val="3"/>
        <charset val="128"/>
        <scheme val="minor"/>
      </rPr>
      <t>使用者の近接攻撃の間合いは１伸びる</t>
    </r>
    <r>
      <rPr>
        <sz val="11"/>
        <rFont val="ＭＳ Ｐゴシック"/>
        <family val="3"/>
        <charset val="128"/>
        <scheme val="minor"/>
      </rPr>
      <t>。</t>
    </r>
    <rPh sb="0" eb="2">
      <t>シヨウ</t>
    </rPh>
    <rPh sb="2" eb="3">
      <t>シャ</t>
    </rPh>
    <rPh sb="6" eb="8">
      <t>ケイタイ</t>
    </rPh>
    <rPh sb="11" eb="12">
      <t>アイダ</t>
    </rPh>
    <rPh sb="13" eb="15">
      <t>シヨウ</t>
    </rPh>
    <rPh sb="15" eb="16">
      <t>シャ</t>
    </rPh>
    <rPh sb="17" eb="19">
      <t>キンセツ</t>
    </rPh>
    <rPh sb="19" eb="21">
      <t>コウゲキ</t>
    </rPh>
    <rPh sb="22" eb="24">
      <t>マア</t>
    </rPh>
    <rPh sb="27" eb="28">
      <t>ノ</t>
    </rPh>
    <phoneticPr fontId="1"/>
  </si>
  <si>
    <t>(Lv21：【筋】の２倍ダメージ)</t>
    <rPh sb="7" eb="8">
      <t>キン</t>
    </rPh>
    <rPh sb="11" eb="12">
      <t>バイ</t>
    </rPh>
    <phoneticPr fontId="1"/>
  </si>
  <si>
    <t>(１[Ｗ]＋【筋】)ダメージ</t>
  </si>
  <si>
    <t>【筋】対"頑健"</t>
    <rPh sb="3" eb="4">
      <t>タイ</t>
    </rPh>
    <rPh sb="5" eb="7">
      <t>ガンケン</t>
    </rPh>
    <phoneticPr fontId="1"/>
  </si>
  <si>
    <t>(１[Ｗ]＋【筋】)ダメージ</t>
    <phoneticPr fontId="1"/>
  </si>
  <si>
    <t>Lv21：(２[Ｗ]＋【筋】)ダメージ</t>
    <phoneticPr fontId="1"/>
  </si>
  <si>
    <t>【筋】対"ＡＣ"</t>
    <rPh sb="3" eb="4">
      <t>タイ</t>
    </rPh>
    <phoneticPr fontId="1"/>
  </si>
  <si>
    <t>【筋】対"ＡＣ"</t>
    <rPh sb="1" eb="2">
      <t>キン</t>
    </rPh>
    <rPh sb="3" eb="4">
      <t>タイ</t>
    </rPh>
    <phoneticPr fontId="1"/>
  </si>
  <si>
    <t>(１[Ｗ]＋【筋】)ダメージ</t>
    <rPh sb="7" eb="8">
      <t>キン</t>
    </rPh>
    <phoneticPr fontId="1"/>
  </si>
  <si>
    <t>Lv21：(２[Ｗ]＋【筋】)ダメージ</t>
    <rPh sb="12" eb="13">
      <t>キン</t>
    </rPh>
    <phoneticPr fontId="1"/>
  </si>
  <si>
    <t>(２[Ｗ]＋【筋】)ダメージ</t>
  </si>
  <si>
    <t>【筋】対"反応"</t>
    <rPh sb="3" eb="4">
      <t>タイ</t>
    </rPh>
    <rPh sb="5" eb="7">
      <t>ハンノウ</t>
    </rPh>
    <phoneticPr fontId="1"/>
  </si>
  <si>
    <t>(２[Ｗ]＋【筋】)ダメージ</t>
    <phoneticPr fontId="1"/>
  </si>
  <si>
    <t>④掴みから脱出！</t>
    <rPh sb="1" eb="2">
      <t>ツカ</t>
    </rPh>
    <rPh sb="5" eb="7">
      <t>ダッシュツ</t>
    </rPh>
    <phoneticPr fontId="1"/>
  </si>
  <si>
    <r>
      <t>トリガーが攻撃では無く　</t>
    </r>
    <r>
      <rPr>
        <b/>
        <sz val="14"/>
        <color rgb="FFFF0000"/>
        <rFont val="HGP創英角ﾎﾟｯﾌﾟ体"/>
        <family val="3"/>
        <charset val="128"/>
      </rPr>
      <t>敵自体のターン中の移動</t>
    </r>
    <r>
      <rPr>
        <b/>
        <sz val="12"/>
        <color rgb="FFFF0000"/>
        <rFont val="ＭＳ Ｐゴシック"/>
        <family val="3"/>
        <charset val="128"/>
        <scheme val="minor"/>
      </rPr>
      <t>である点に注意！</t>
    </r>
    <rPh sb="5" eb="7">
      <t>コウゲキ</t>
    </rPh>
    <rPh sb="9" eb="10">
      <t>ナ</t>
    </rPh>
    <rPh sb="12" eb="13">
      <t>テキ</t>
    </rPh>
    <rPh sb="13" eb="15">
      <t>ジタイ</t>
    </rPh>
    <rPh sb="19" eb="20">
      <t>チュウ</t>
    </rPh>
    <rPh sb="21" eb="23">
      <t>イドウ</t>
    </rPh>
    <rPh sb="26" eb="27">
      <t>テン</t>
    </rPh>
    <rPh sb="28" eb="30">
      <t>チュウイ</t>
    </rPh>
    <phoneticPr fontId="1"/>
  </si>
  <si>
    <r>
      <t>⑦敵のターン中にしか発動不可、つまり</t>
    </r>
    <r>
      <rPr>
        <b/>
        <sz val="11"/>
        <color rgb="FFFF0000"/>
        <rFont val="ＭＳ Ｐゴシック"/>
        <family val="3"/>
        <charset val="128"/>
        <scheme val="minor"/>
      </rPr>
      <t>敵の即応パワーに対しては絶対に発動できない！</t>
    </r>
    <rPh sb="1" eb="2">
      <t>テキ</t>
    </rPh>
    <rPh sb="6" eb="7">
      <t>チュウ</t>
    </rPh>
    <rPh sb="10" eb="12">
      <t>ハツドウ</t>
    </rPh>
    <rPh sb="12" eb="14">
      <t>フカ</t>
    </rPh>
    <rPh sb="18" eb="19">
      <t>テキ</t>
    </rPh>
    <rPh sb="20" eb="22">
      <t>ソクオウ</t>
    </rPh>
    <rPh sb="26" eb="27">
      <t>タイ</t>
    </rPh>
    <rPh sb="30" eb="32">
      <t>ゼッタイ</t>
    </rPh>
    <rPh sb="33" eb="35">
      <t>ハツドウ</t>
    </rPh>
    <phoneticPr fontId="1"/>
  </si>
  <si>
    <t>ウォーデンズ・フューリィ</t>
    <phoneticPr fontId="1"/>
  </si>
  <si>
    <t>突撃等を駆使して上手にマークして行きたい。</t>
    <rPh sb="0" eb="2">
      <t>トツゲキ</t>
    </rPh>
    <rPh sb="2" eb="3">
      <t>トウ</t>
    </rPh>
    <rPh sb="4" eb="6">
      <t>クシ</t>
    </rPh>
    <rPh sb="8" eb="10">
      <t>ジョウズ</t>
    </rPh>
    <rPh sb="16" eb="17">
      <t>イ</t>
    </rPh>
    <phoneticPr fontId="1"/>
  </si>
  <si>
    <t>⑤拘束や不動に対するその場しのぎ</t>
    <rPh sb="1" eb="3">
      <t>コウソク</t>
    </rPh>
    <rPh sb="4" eb="6">
      <t>フドウ</t>
    </rPh>
    <rPh sb="7" eb="8">
      <t>タイ</t>
    </rPh>
    <rPh sb="12" eb="13">
      <t>バ</t>
    </rPh>
    <phoneticPr fontId="1"/>
  </si>
  <si>
    <t>ウォーデン/攻撃/１　(Dr379:46)</t>
    <rPh sb="6" eb="8">
      <t>コウゲキ</t>
    </rPh>
    <phoneticPr fontId="1"/>
  </si>
  <si>
    <t>　　　君が“ウォーデンズ･フューリィ”を敵にヒットさせた時は常に、ダメージを与える代わりに</t>
    <rPh sb="3" eb="4">
      <t>キミ</t>
    </rPh>
    <rPh sb="20" eb="21">
      <t>テキ</t>
    </rPh>
    <rPh sb="28" eb="29">
      <t>トキ</t>
    </rPh>
    <rPh sb="30" eb="31">
      <t>ツネ</t>
    </rPh>
    <rPh sb="38" eb="39">
      <t>アタ</t>
    </rPh>
    <rPh sb="41" eb="42">
      <t>カ</t>
    </rPh>
    <phoneticPr fontId="1"/>
  </si>
  <si>
    <t>　　　敵を倒して伏せ状態にさせるか1マス横滑りさせることを選べる。</t>
    <phoneticPr fontId="1"/>
  </si>
  <si>
    <t>ダメージを与える代わりに敵を倒して伏せ状態にさせるか1マス横滑りさせることを選べる。</t>
    <phoneticPr fontId="1"/>
  </si>
  <si>
    <t>持久力／汎用／１０　（未71）</t>
    <rPh sb="0" eb="3">
      <t>ジキュウリョク</t>
    </rPh>
    <rPh sb="4" eb="6">
      <t>ハンヨウ</t>
    </rPh>
    <rPh sb="11" eb="12">
      <t>ミ</t>
    </rPh>
    <phoneticPr fontId="1"/>
  </si>
  <si>
    <t>[一日毎]</t>
    <rPh sb="1" eb="3">
      <t>イチニチ</t>
    </rPh>
    <rPh sb="3" eb="4">
      <t>マイ</t>
    </rPh>
    <phoneticPr fontId="1"/>
  </si>
  <si>
    <t>[一日毎]◆［回復］［原始］</t>
    <rPh sb="1" eb="3">
      <t>イチニチ</t>
    </rPh>
    <rPh sb="3" eb="4">
      <t>マイ</t>
    </rPh>
    <rPh sb="7" eb="9">
      <t>カイフク</t>
    </rPh>
    <rPh sb="11" eb="13">
      <t>ゲンシ</t>
    </rPh>
    <phoneticPr fontId="1"/>
  </si>
  <si>
    <t>マイナー・アクション</t>
    <phoneticPr fontId="1"/>
  </si>
  <si>
    <t>使用者の回復力が少なくとも1回分残っている事。</t>
    <rPh sb="0" eb="2">
      <t>シヨウ</t>
    </rPh>
    <rPh sb="2" eb="3">
      <t>シャ</t>
    </rPh>
    <rPh sb="4" eb="7">
      <t>カイフクリョク</t>
    </rPh>
    <rPh sb="8" eb="9">
      <t>スク</t>
    </rPh>
    <rPh sb="14" eb="16">
      <t>カイブン</t>
    </rPh>
    <rPh sb="16" eb="17">
      <t>ノコ</t>
    </rPh>
    <rPh sb="21" eb="22">
      <t>コト</t>
    </rPh>
    <phoneticPr fontId="1"/>
  </si>
  <si>
    <t>使用者は回復力を1回分失う。</t>
    <rPh sb="0" eb="3">
      <t>シヨウシャ</t>
    </rPh>
    <rPh sb="4" eb="7">
      <t>カイフクリョク</t>
    </rPh>
    <rPh sb="9" eb="11">
      <t>カイブン</t>
    </rPh>
    <rPh sb="11" eb="12">
      <t>ウシナ</t>
    </rPh>
    <phoneticPr fontId="1"/>
  </si>
  <si>
    <r>
      <t>この</t>
    </r>
    <r>
      <rPr>
        <b/>
        <sz val="11"/>
        <color rgb="FFFF0000"/>
        <rFont val="ＭＳ Ｐゴシック"/>
        <family val="3"/>
        <charset val="128"/>
        <scheme val="minor"/>
      </rPr>
      <t>遭終</t>
    </r>
    <r>
      <rPr>
        <sz val="11"/>
        <rFont val="ＭＳ Ｐゴシック"/>
        <family val="3"/>
        <charset val="128"/>
        <scheme val="minor"/>
      </rPr>
      <t>まで使用者は</t>
    </r>
    <r>
      <rPr>
        <b/>
        <sz val="11"/>
        <color rgb="FFFF0000"/>
        <rFont val="ＭＳ Ｐゴシック"/>
        <family val="3"/>
        <charset val="128"/>
        <scheme val="minor"/>
      </rPr>
      <t>弱体化状態にされる事がなく</t>
    </r>
    <r>
      <rPr>
        <sz val="11"/>
        <rFont val="ＭＳ Ｐゴシック"/>
        <family val="3"/>
        <charset val="128"/>
        <scheme val="minor"/>
      </rPr>
      <t>、</t>
    </r>
    <rPh sb="2" eb="3">
      <t>ソウ</t>
    </rPh>
    <rPh sb="3" eb="4">
      <t>シュウ</t>
    </rPh>
    <rPh sb="6" eb="9">
      <t>シヨウシャ</t>
    </rPh>
    <rPh sb="10" eb="13">
      <t>ジャクタイカ</t>
    </rPh>
    <rPh sb="13" eb="15">
      <t>ジョウタイ</t>
    </rPh>
    <rPh sb="19" eb="20">
      <t>コト</t>
    </rPh>
    <phoneticPr fontId="1"/>
  </si>
  <si>
    <r>
      <rPr>
        <b/>
        <sz val="11"/>
        <color rgb="FFFF0000"/>
        <rFont val="ＭＳ Ｐゴシック"/>
        <family val="3"/>
        <charset val="128"/>
        <scheme val="minor"/>
      </rPr>
      <t>”全てのダメージに対する抵抗１０”</t>
    </r>
    <r>
      <rPr>
        <sz val="11"/>
        <rFont val="ＭＳ Ｐゴシック"/>
        <family val="3"/>
        <charset val="128"/>
        <scheme val="minor"/>
      </rPr>
      <t>を得る。</t>
    </r>
    <rPh sb="1" eb="2">
      <t>スベ</t>
    </rPh>
    <rPh sb="9" eb="10">
      <t>タイ</t>
    </rPh>
    <rPh sb="12" eb="14">
      <t>テイコウ</t>
    </rPh>
    <rPh sb="18" eb="19">
      <t>エ</t>
    </rPh>
    <phoneticPr fontId="1"/>
  </si>
  <si>
    <r>
      <t>使用者が</t>
    </r>
    <r>
      <rPr>
        <b/>
        <sz val="11"/>
        <color rgb="FFFF0000"/>
        <rFont val="ＭＳ Ｐゴシック"/>
        <family val="3"/>
        <charset val="128"/>
        <scheme val="minor"/>
      </rPr>
      <t>突撃</t>
    </r>
    <r>
      <rPr>
        <sz val="11"/>
        <rFont val="ＭＳ Ｐゴシック"/>
        <family val="3"/>
        <charset val="128"/>
        <scheme val="minor"/>
      </rPr>
      <t>を行った時、近接基礎攻撃の代わりにこのパワーを使用できる。</t>
    </r>
    <phoneticPr fontId="1"/>
  </si>
  <si>
    <t>特殊</t>
    <rPh sb="0" eb="2">
      <t>トクシュ</t>
    </rPh>
    <phoneticPr fontId="1"/>
  </si>
  <si>
    <r>
      <t>使用者は(T終)まで</t>
    </r>
    <r>
      <rPr>
        <b/>
        <sz val="11"/>
        <color rgb="FFFF0000"/>
        <rFont val="ＭＳ Ｐゴシック"/>
        <family val="3"/>
        <charset val="128"/>
        <scheme val="minor"/>
      </rPr>
      <t>目標をマーク</t>
    </r>
    <r>
      <rPr>
        <sz val="11"/>
        <rFont val="ＭＳ Ｐゴシック"/>
        <family val="3"/>
        <charset val="128"/>
        <scheme val="minor"/>
      </rPr>
      <t>する。</t>
    </r>
    <rPh sb="0" eb="2">
      <t>シヨウ</t>
    </rPh>
    <rPh sb="2" eb="3">
      <t>シャ</t>
    </rPh>
    <rPh sb="6" eb="7">
      <t>シュウ</t>
    </rPh>
    <rPh sb="10" eb="12">
      <t>モクヒョウ</t>
    </rPh>
    <phoneticPr fontId="1"/>
  </si>
  <si>
    <t>　　是非やって下さい。　ついでに揺さぶる枝もどうぞ。</t>
    <rPh sb="2" eb="4">
      <t>ゼヒ</t>
    </rPh>
    <rPh sb="7" eb="8">
      <t>クダ</t>
    </rPh>
    <phoneticPr fontId="1"/>
  </si>
  <si>
    <t>　　迷わずやって良し！</t>
    <rPh sb="2" eb="3">
      <t>マヨ</t>
    </rPh>
    <rPh sb="8" eb="9">
      <t>ヨ</t>
    </rPh>
    <phoneticPr fontId="1"/>
  </si>
  <si>
    <t>①ターン開始時に弱体化に対するＳＴに失敗</t>
    <rPh sb="4" eb="6">
      <t>カイシ</t>
    </rPh>
    <rPh sb="6" eb="7">
      <t>ジ</t>
    </rPh>
    <rPh sb="8" eb="11">
      <t>ジャクタイカ</t>
    </rPh>
    <rPh sb="12" eb="13">
      <t>タイ</t>
    </rPh>
    <rPh sb="18" eb="20">
      <t>シッパイ</t>
    </rPh>
    <phoneticPr fontId="1"/>
  </si>
  <si>
    <t>　　コレで頑張って下さい。</t>
    <rPh sb="5" eb="7">
      <t>ガンバ</t>
    </rPh>
    <rPh sb="9" eb="10">
      <t>クダ</t>
    </rPh>
    <phoneticPr fontId="1"/>
  </si>
  <si>
    <t>③シールディング・エリクサー欲しいけど自分の分は回ってきそうにない・・・</t>
    <rPh sb="14" eb="15">
      <t>ホ</t>
    </rPh>
    <rPh sb="19" eb="21">
      <t>ジブン</t>
    </rPh>
    <rPh sb="22" eb="23">
      <t>ブン</t>
    </rPh>
    <rPh sb="24" eb="25">
      <t>マワ</t>
    </rPh>
    <phoneticPr fontId="1"/>
  </si>
  <si>
    <t>　　そんなモン期待するな。　自力でなんとかしろ！</t>
    <rPh sb="7" eb="9">
      <t>キタイ</t>
    </rPh>
    <rPh sb="14" eb="16">
      <t>ジリキ</t>
    </rPh>
    <phoneticPr fontId="1"/>
  </si>
  <si>
    <t>　　もう自己完結っぷりが素晴らし過ぎる・・・。</t>
    <rPh sb="4" eb="6">
      <t>ジコ</t>
    </rPh>
    <rPh sb="6" eb="8">
      <t>カンケツ</t>
    </rPh>
    <rPh sb="12" eb="14">
      <t>スバ</t>
    </rPh>
    <rPh sb="16" eb="17">
      <t>ス</t>
    </rPh>
    <phoneticPr fontId="1"/>
  </si>
  <si>
    <t>②早々と重傷になってしまったが再生を活かして自力で踏ん張りたい</t>
    <rPh sb="1" eb="3">
      <t>ハヤバヤ</t>
    </rPh>
    <rPh sb="4" eb="6">
      <t>ジュウショウ</t>
    </rPh>
    <rPh sb="15" eb="17">
      <t>サイセイ</t>
    </rPh>
    <rPh sb="18" eb="19">
      <t>イ</t>
    </rPh>
    <rPh sb="22" eb="24">
      <t>ジリキ</t>
    </rPh>
    <rPh sb="25" eb="26">
      <t>フ</t>
    </rPh>
    <rPh sb="27" eb="28">
      <t>バ</t>
    </rPh>
    <phoneticPr fontId="1"/>
  </si>
  <si>
    <t>　　っていうか、マジでリュカオンにはシールディング・エリクサーいらないんじゃないの？</t>
    <phoneticPr fontId="1"/>
  </si>
  <si>
    <t>　　何で構えキーワードも何も付いてないの？　おかしいだろうが・・・。</t>
    <rPh sb="2" eb="3">
      <t>ナン</t>
    </rPh>
    <rPh sb="4" eb="5">
      <t>カマ</t>
    </rPh>
    <rPh sb="12" eb="13">
      <t>ナニ</t>
    </rPh>
    <rPh sb="14" eb="15">
      <t>ツ</t>
    </rPh>
    <phoneticPr fontId="1"/>
  </si>
  <si>
    <t>最も恩恵があるのはウォーデンズ・フューリィ始め、即応武器パワーであると考えられる。</t>
    <rPh sb="0" eb="1">
      <t>モット</t>
    </rPh>
    <rPh sb="2" eb="4">
      <t>オンケイ</t>
    </rPh>
    <rPh sb="21" eb="22">
      <t>ハジ</t>
    </rPh>
    <rPh sb="24" eb="26">
      <t>ソクオウ</t>
    </rPh>
    <rPh sb="26" eb="28">
      <t>ブキ</t>
    </rPh>
    <rPh sb="35" eb="36">
      <t>カンガ</t>
    </rPh>
    <phoneticPr fontId="1"/>
  </si>
  <si>
    <t>間合い武器の効果は絶大だ！</t>
    <rPh sb="0" eb="2">
      <t>マア</t>
    </rPh>
    <rPh sb="3" eb="5">
      <t>ブキ</t>
    </rPh>
    <rPh sb="6" eb="8">
      <t>コウカ</t>
    </rPh>
    <rPh sb="9" eb="11">
      <t>ゼツダイ</t>
    </rPh>
    <phoneticPr fontId="1"/>
  </si>
  <si>
    <t>２次</t>
    <rPh sb="1" eb="2">
      <t>ジ</t>
    </rPh>
    <phoneticPr fontId="1"/>
  </si>
  <si>
    <t>重傷時クリティカルダイス</t>
    <rPh sb="0" eb="2">
      <t>ジュウショウ</t>
    </rPh>
    <rPh sb="2" eb="3">
      <t>ジ</t>
    </rPh>
    <phoneticPr fontId="1"/>
  </si>
  <si>
    <t>武器パワー情報</t>
    <rPh sb="0" eb="2">
      <t>ブキ</t>
    </rPh>
    <rPh sb="5" eb="7">
      <t>ジョウホウ</t>
    </rPh>
    <phoneticPr fontId="1"/>
  </si>
  <si>
    <t>↓基本値</t>
    <rPh sb="1" eb="3">
      <t>キホン</t>
    </rPh>
    <rPh sb="3" eb="4">
      <t>チ</t>
    </rPh>
    <phoneticPr fontId="1"/>
  </si>
  <si>
    <t>ダメージダイス数</t>
    <rPh sb="7" eb="8">
      <t>スウ</t>
    </rPh>
    <phoneticPr fontId="1"/>
  </si>
  <si>
    <t>d</t>
    <phoneticPr fontId="1"/>
  </si>
  <si>
    <t>装具・クラス特徴・汎用パワー情報</t>
    <rPh sb="0" eb="2">
      <t>ソウグ</t>
    </rPh>
    <rPh sb="6" eb="8">
      <t>トクチョウ</t>
    </rPh>
    <rPh sb="9" eb="11">
      <t>ハンヨウ</t>
    </rPh>
    <rPh sb="14" eb="16">
      <t>ジョウホウ</t>
    </rPh>
    <phoneticPr fontId="1"/>
  </si>
  <si>
    <t>★：容赦なきアクション(Lv11)(PHⅡ83)</t>
    <rPh sb="2" eb="4">
      <t>ヨウシャ</t>
    </rPh>
    <phoneticPr fontId="1"/>
  </si>
  <si>
    <t>　　君はその攻撃Rを再ロールする事ができるが、2回目のロールの結果を使用しなければならない。</t>
    <rPh sb="2" eb="3">
      <t>キミ</t>
    </rPh>
    <rPh sb="6" eb="8">
      <t>コウゲキ</t>
    </rPh>
    <rPh sb="10" eb="11">
      <t>サイ</t>
    </rPh>
    <rPh sb="16" eb="17">
      <t>コト</t>
    </rPh>
    <rPh sb="24" eb="26">
      <t>カイメ</t>
    </rPh>
    <rPh sb="31" eb="33">
      <t>ケッカ</t>
    </rPh>
    <rPh sb="34" eb="36">
      <t>シヨウ</t>
    </rPh>
    <phoneticPr fontId="1"/>
  </si>
  <si>
    <t>★：執拗なる追跡(Lv11)(PHⅡ83)</t>
    <rPh sb="2" eb="4">
      <t>シツヨウ</t>
    </rPh>
    <rPh sb="6" eb="8">
      <t>ツイセキ</t>
    </rPh>
    <phoneticPr fontId="1"/>
  </si>
  <si>
    <t>★：春の言祝ぎ(Lv16)(PHⅡ83)</t>
    <rPh sb="2" eb="3">
      <t>ハル</t>
    </rPh>
    <rPh sb="4" eb="6">
      <t>コトホ</t>
    </rPh>
    <phoneticPr fontId="1"/>
  </si>
  <si>
    <t>　　君は[変身]キーワードを持つウォーデンの一日毎攻撃パワーを使用するたびに、</t>
    <rPh sb="2" eb="3">
      <t>キミ</t>
    </rPh>
    <rPh sb="5" eb="7">
      <t>ヘンシン</t>
    </rPh>
    <rPh sb="14" eb="15">
      <t>モ</t>
    </rPh>
    <rPh sb="22" eb="24">
      <t>イチニチ</t>
    </rPh>
    <rPh sb="24" eb="25">
      <t>ゴト</t>
    </rPh>
    <rPh sb="25" eb="27">
      <t>コウゲキ</t>
    </rPh>
    <rPh sb="31" eb="33">
      <t>シヨウ</t>
    </rPh>
    <phoneticPr fontId="1"/>
  </si>
  <si>
    <t>　　1回のFAとして1回分の回復力を消費する事ができる。</t>
    <rPh sb="3" eb="4">
      <t>カイ</t>
    </rPh>
    <rPh sb="11" eb="13">
      <t>カイブン</t>
    </rPh>
    <rPh sb="14" eb="17">
      <t>カイフクリョク</t>
    </rPh>
    <rPh sb="18" eb="20">
      <t>ショウヒ</t>
    </rPh>
    <rPh sb="22" eb="23">
      <t>コト</t>
    </rPh>
    <phoneticPr fontId="1"/>
  </si>
  <si>
    <t>トリガー</t>
    <phoneticPr fontId="1"/>
  </si>
  <si>
    <t>ウォーデン／攻撃／９　（PHⅡ73）</t>
    <phoneticPr fontId="1"/>
  </si>
  <si>
    <t>[遭遇毎]◆［原始][変身]</t>
    <rPh sb="1" eb="3">
      <t>ソウグウ</t>
    </rPh>
    <rPh sb="3" eb="4">
      <t>マイ</t>
    </rPh>
    <rPh sb="11" eb="13">
      <t>ヘンシン</t>
    </rPh>
    <phoneticPr fontId="1"/>
  </si>
  <si>
    <t>(２[Ｗ]＋【筋】)のダメージ</t>
    <phoneticPr fontId="1"/>
  </si>
  <si>
    <t>効果</t>
    <rPh sb="0" eb="2">
      <t>コウカ</t>
    </rPh>
    <phoneticPr fontId="1"/>
  </si>
  <si>
    <t>使用者が本来の目標の代りに、トリガーとなる攻撃の目標となる。</t>
    <rPh sb="0" eb="2">
      <t>シヨウ</t>
    </rPh>
    <rPh sb="2" eb="3">
      <t>シャ</t>
    </rPh>
    <rPh sb="4" eb="6">
      <t>ホンライ</t>
    </rPh>
    <rPh sb="7" eb="9">
      <t>モクヒョウ</t>
    </rPh>
    <rPh sb="10" eb="11">
      <t>カワ</t>
    </rPh>
    <rPh sb="21" eb="23">
      <t>コウゲキ</t>
    </rPh>
    <rPh sb="24" eb="26">
      <t>モクヒョウ</t>
    </rPh>
    <phoneticPr fontId="1"/>
  </si>
  <si>
    <t>たとえ、使用者がトリガーとなる攻撃の射程内にいなくても使用者が目標となる。</t>
    <rPh sb="4" eb="7">
      <t>シヨウシャ</t>
    </rPh>
    <rPh sb="15" eb="17">
      <t>コウゲキ</t>
    </rPh>
    <rPh sb="18" eb="20">
      <t>シャテイ</t>
    </rPh>
    <rPh sb="20" eb="21">
      <t>ナイ</t>
    </rPh>
    <rPh sb="27" eb="29">
      <t>シヨウ</t>
    </rPh>
    <rPh sb="29" eb="30">
      <t>シャ</t>
    </rPh>
    <rPh sb="31" eb="33">
      <t>モクヒョウ</t>
    </rPh>
    <phoneticPr fontId="1"/>
  </si>
  <si>
    <t>ゼラス・ストライク</t>
    <phoneticPr fontId="1"/>
  </si>
  <si>
    <t>ホーンド・チャンピオン/攻撃/１１　(ＰＨⅡ83)</t>
    <rPh sb="12" eb="14">
      <t>コウゲキ</t>
    </rPh>
    <phoneticPr fontId="1"/>
  </si>
  <si>
    <r>
      <t>使用者は敵を倒して”</t>
    </r>
    <r>
      <rPr>
        <b/>
        <sz val="11"/>
        <color rgb="FFFF0000"/>
        <rFont val="ＭＳ Ｐゴシック"/>
        <family val="3"/>
        <charset val="128"/>
        <scheme val="minor"/>
      </rPr>
      <t>伏せ</t>
    </r>
    <r>
      <rPr>
        <sz val="11"/>
        <rFont val="ＭＳ Ｐゴシック"/>
        <family val="3"/>
        <charset val="128"/>
        <scheme val="minor"/>
      </rPr>
      <t>状態”とする。</t>
    </r>
    <rPh sb="0" eb="2">
      <t>シヨウ</t>
    </rPh>
    <rPh sb="2" eb="3">
      <t>シャ</t>
    </rPh>
    <rPh sb="4" eb="5">
      <t>テキ</t>
    </rPh>
    <rPh sb="6" eb="7">
      <t>タオ</t>
    </rPh>
    <rPh sb="10" eb="11">
      <t>フ</t>
    </rPh>
    <rPh sb="12" eb="14">
      <t>ジョウタイ</t>
    </rPh>
    <phoneticPr fontId="1"/>
  </si>
  <si>
    <t>ホーンド・チャンピオン/汎用/１２　(ＰＨⅡ83)</t>
    <rPh sb="12" eb="14">
      <t>ハンヨウ</t>
    </rPh>
    <phoneticPr fontId="1"/>
  </si>
  <si>
    <t>[遭遇毎]◆［原始］</t>
    <rPh sb="1" eb="3">
      <t>ソウグウ</t>
    </rPh>
    <rPh sb="3" eb="4">
      <t>マイ</t>
    </rPh>
    <rPh sb="7" eb="9">
      <t>ゲンシ</t>
    </rPh>
    <phoneticPr fontId="1"/>
  </si>
  <si>
    <t>移動アクション</t>
    <rPh sb="0" eb="2">
      <t>イドウ</t>
    </rPh>
    <phoneticPr fontId="1"/>
  </si>
  <si>
    <t>使用者は自分の移動速度ぶんの移動を行う。</t>
    <rPh sb="0" eb="2">
      <t>シヨウ</t>
    </rPh>
    <rPh sb="2" eb="3">
      <t>シャ</t>
    </rPh>
    <rPh sb="4" eb="6">
      <t>ジブン</t>
    </rPh>
    <rPh sb="7" eb="9">
      <t>イドウ</t>
    </rPh>
    <rPh sb="9" eb="11">
      <t>ソクド</t>
    </rPh>
    <rPh sb="14" eb="16">
      <t>イドウ</t>
    </rPh>
    <rPh sb="17" eb="18">
      <t>オコナ</t>
    </rPh>
    <phoneticPr fontId="1"/>
  </si>
  <si>
    <t>そのクリーチャーは（５＋【判】)に等しいダメージを受ける。</t>
    <rPh sb="13" eb="14">
      <t>ハン</t>
    </rPh>
    <rPh sb="17" eb="18">
      <t>ヒト</t>
    </rPh>
    <rPh sb="25" eb="26">
      <t>ウ</t>
    </rPh>
    <phoneticPr fontId="1"/>
  </si>
  <si>
    <t>フォーム・オヴ・ザ・リーピング・スタッグ</t>
    <phoneticPr fontId="1"/>
  </si>
  <si>
    <t>ホーンド・チャンピオン/攻撃/２０　(ＰＨⅡ83)</t>
    <phoneticPr fontId="1"/>
  </si>
  <si>
    <t>使用者はこの遭遇の終了時まで”飛び跳ねる雄鹿”の守護者形態をとる。</t>
    <rPh sb="0" eb="2">
      <t>シヨウ</t>
    </rPh>
    <rPh sb="2" eb="3">
      <t>シャ</t>
    </rPh>
    <rPh sb="6" eb="8">
      <t>ソウグウ</t>
    </rPh>
    <rPh sb="9" eb="12">
      <t>シュウリョウジ</t>
    </rPh>
    <rPh sb="15" eb="16">
      <t>ト</t>
    </rPh>
    <rPh sb="17" eb="18">
      <t>ハ</t>
    </rPh>
    <rPh sb="20" eb="21">
      <t>オス</t>
    </rPh>
    <rPh sb="21" eb="22">
      <t>シカ</t>
    </rPh>
    <rPh sb="24" eb="27">
      <t>シュゴシャ</t>
    </rPh>
    <rPh sb="27" eb="29">
      <t>ケイタイ</t>
    </rPh>
    <phoneticPr fontId="1"/>
  </si>
  <si>
    <r>
      <t>使用者はこの形態にある間、</t>
    </r>
    <r>
      <rPr>
        <b/>
        <sz val="11"/>
        <color rgb="FFFF0000"/>
        <rFont val="ＭＳ Ｐゴシック"/>
        <family val="3"/>
        <charset val="128"/>
        <scheme val="minor"/>
      </rPr>
      <t>移動速度に＋４</t>
    </r>
    <r>
      <rPr>
        <sz val="11"/>
        <rFont val="ＭＳ Ｐゴシック"/>
        <family val="3"/>
        <charset val="128"/>
        <scheme val="minor"/>
      </rPr>
      <t>のボーナスを得る。</t>
    </r>
    <rPh sb="0" eb="2">
      <t>シヨウ</t>
    </rPh>
    <rPh sb="2" eb="3">
      <t>シャ</t>
    </rPh>
    <rPh sb="6" eb="8">
      <t>ケイタイ</t>
    </rPh>
    <rPh sb="11" eb="12">
      <t>アイダ</t>
    </rPh>
    <rPh sb="13" eb="15">
      <t>イドウ</t>
    </rPh>
    <rPh sb="15" eb="17">
      <t>ソクド</t>
    </rPh>
    <rPh sb="26" eb="27">
      <t>エ</t>
    </rPh>
    <phoneticPr fontId="1"/>
  </si>
  <si>
    <t>加えて使用者は１回の移動アクションとして使用者の移動速度ぶんの移動を行い、</t>
    <rPh sb="0" eb="1">
      <t>クワ</t>
    </rPh>
    <rPh sb="3" eb="6">
      <t>シヨウシャ</t>
    </rPh>
    <rPh sb="8" eb="9">
      <t>カイ</t>
    </rPh>
    <rPh sb="10" eb="12">
      <t>イドウ</t>
    </rPh>
    <rPh sb="20" eb="22">
      <t>シヨウ</t>
    </rPh>
    <rPh sb="22" eb="23">
      <t>シャ</t>
    </rPh>
    <rPh sb="24" eb="26">
      <t>イドウ</t>
    </rPh>
    <rPh sb="26" eb="28">
      <t>ソクド</t>
    </rPh>
    <rPh sb="31" eb="33">
      <t>イドウ</t>
    </rPh>
    <rPh sb="34" eb="35">
      <t>オコナ</t>
    </rPh>
    <phoneticPr fontId="1"/>
  </si>
  <si>
    <t>この遭遇中、使用者はこの形態をとっている間に１回だけ以下の[武器]攻撃を行うことができる。</t>
    <phoneticPr fontId="1"/>
  </si>
  <si>
    <r>
      <t>同時に使用者の</t>
    </r>
    <r>
      <rPr>
        <b/>
        <sz val="11"/>
        <color rgb="FFFF0000"/>
        <rFont val="ＭＳ Ｐゴシック"/>
        <family val="3"/>
        <charset val="128"/>
        <scheme val="minor"/>
      </rPr>
      <t>T終了まで機会攻撃に対するＡＣに＋２</t>
    </r>
    <r>
      <rPr>
        <sz val="11"/>
        <rFont val="ＭＳ Ｐゴシック"/>
        <family val="3"/>
        <charset val="128"/>
        <scheme val="minor"/>
      </rPr>
      <t>のパワーＢを得る事ができる。</t>
    </r>
    <rPh sb="0" eb="2">
      <t>ドウジ</t>
    </rPh>
    <rPh sb="3" eb="5">
      <t>シヨウ</t>
    </rPh>
    <rPh sb="5" eb="6">
      <t>シャ</t>
    </rPh>
    <rPh sb="8" eb="10">
      <t>シュウリョウ</t>
    </rPh>
    <rPh sb="12" eb="14">
      <t>キカイ</t>
    </rPh>
    <rPh sb="14" eb="16">
      <t>コウゲキ</t>
    </rPh>
    <rPh sb="17" eb="18">
      <t>タイ</t>
    </rPh>
    <rPh sb="31" eb="32">
      <t>エ</t>
    </rPh>
    <rPh sb="33" eb="34">
      <t>コト</t>
    </rPh>
    <phoneticPr fontId="1"/>
  </si>
  <si>
    <r>
      <t>この移動の間、使用者は</t>
    </r>
    <r>
      <rPr>
        <b/>
        <sz val="11"/>
        <color rgb="FFFF0000"/>
        <rFont val="ＭＳ Ｐゴシック"/>
        <family val="3"/>
        <charset val="128"/>
        <scheme val="minor"/>
      </rPr>
      <t>敵の接敵面内を通過</t>
    </r>
    <r>
      <rPr>
        <sz val="11"/>
        <rFont val="ＭＳ Ｐゴシック"/>
        <family val="3"/>
        <charset val="128"/>
        <scheme val="minor"/>
      </rPr>
      <t>して移動する事ができ、</t>
    </r>
    <rPh sb="2" eb="4">
      <t>イドウ</t>
    </rPh>
    <rPh sb="5" eb="6">
      <t>アイダ</t>
    </rPh>
    <rPh sb="7" eb="9">
      <t>シヨウ</t>
    </rPh>
    <rPh sb="9" eb="10">
      <t>シャ</t>
    </rPh>
    <rPh sb="11" eb="12">
      <t>テキ</t>
    </rPh>
    <rPh sb="13" eb="15">
      <t>セッテキ</t>
    </rPh>
    <rPh sb="15" eb="16">
      <t>メン</t>
    </rPh>
    <rPh sb="16" eb="17">
      <t>ナイ</t>
    </rPh>
    <rPh sb="18" eb="20">
      <t>ツウカ</t>
    </rPh>
    <rPh sb="22" eb="24">
      <t>イドウ</t>
    </rPh>
    <rPh sb="26" eb="27">
      <t>コト</t>
    </rPh>
    <phoneticPr fontId="1"/>
  </si>
  <si>
    <r>
      <t>同時に、その敵を使用者の</t>
    </r>
    <r>
      <rPr>
        <b/>
        <sz val="11"/>
        <color rgb="FFFF0000"/>
        <rFont val="ＭＳ Ｐゴシック"/>
        <family val="3"/>
        <charset val="128"/>
        <scheme val="minor"/>
      </rPr>
      <t>次Ｔ終までマーク</t>
    </r>
    <r>
      <rPr>
        <sz val="11"/>
        <rFont val="ＭＳ Ｐゴシック"/>
        <family val="3"/>
        <charset val="128"/>
        <scheme val="minor"/>
      </rPr>
      <t>する。</t>
    </r>
    <rPh sb="0" eb="2">
      <t>ドウジ</t>
    </rPh>
    <rPh sb="6" eb="7">
      <t>テキ</t>
    </rPh>
    <rPh sb="8" eb="10">
      <t>シヨウ</t>
    </rPh>
    <rPh sb="10" eb="11">
      <t>シャ</t>
    </rPh>
    <rPh sb="12" eb="13">
      <t>ジ</t>
    </rPh>
    <rPh sb="14" eb="15">
      <t>シュウ</t>
    </rPh>
    <phoneticPr fontId="1"/>
  </si>
  <si>
    <t>(２[Ｗ]＋【筋】)ダメージ</t>
    <phoneticPr fontId="1"/>
  </si>
  <si>
    <t>目標は使用者の次Ｔ終まで”朦朧状態”となる。</t>
    <rPh sb="0" eb="2">
      <t>モクヒョウ</t>
    </rPh>
    <rPh sb="3" eb="6">
      <t>シヨウシャ</t>
    </rPh>
    <rPh sb="7" eb="8">
      <t>ジ</t>
    </rPh>
    <rPh sb="9" eb="10">
      <t>シュウ</t>
    </rPh>
    <rPh sb="13" eb="15">
      <t>モウロウ</t>
    </rPh>
    <rPh sb="15" eb="17">
      <t>ジョウタイ</t>
    </rPh>
    <phoneticPr fontId="1"/>
  </si>
  <si>
    <t>目標は使用者の次Ｔ終まで”幻惑状態”となる。</t>
    <rPh sb="0" eb="2">
      <t>モクヒョウ</t>
    </rPh>
    <rPh sb="3" eb="6">
      <t>シヨウシャ</t>
    </rPh>
    <rPh sb="7" eb="8">
      <t>ジ</t>
    </rPh>
    <rPh sb="9" eb="10">
      <t>シュウ</t>
    </rPh>
    <rPh sb="13" eb="15">
      <t>ゲンワク</t>
    </rPh>
    <rPh sb="15" eb="17">
      <t>ジョウタイ</t>
    </rPh>
    <phoneticPr fontId="1"/>
  </si>
  <si>
    <t>※《戦士の勘働き》(MC:ファイター) (武151)</t>
    <rPh sb="2" eb="4">
      <t>センシ</t>
    </rPh>
    <rPh sb="5" eb="6">
      <t>カン</t>
    </rPh>
    <rPh sb="6" eb="7">
      <t>バタラ</t>
    </rPh>
    <rPh sb="21" eb="22">
      <t>ブ</t>
    </rPh>
    <phoneticPr fontId="1"/>
  </si>
  <si>
    <t>　　１遭遇に１度、君に隣接する敵がシフトするか、君を目標に含まない攻撃を行った時、</t>
    <rPh sb="3" eb="5">
      <t>ソウグウ</t>
    </rPh>
    <rPh sb="7" eb="8">
      <t>ド</t>
    </rPh>
    <rPh sb="9" eb="10">
      <t>キミ</t>
    </rPh>
    <rPh sb="11" eb="13">
      <t>リンセツ</t>
    </rPh>
    <rPh sb="15" eb="16">
      <t>テキ</t>
    </rPh>
    <rPh sb="24" eb="25">
      <t>キミ</t>
    </rPh>
    <rPh sb="26" eb="28">
      <t>モクヒョウ</t>
    </rPh>
    <rPh sb="29" eb="30">
      <t>フク</t>
    </rPh>
    <rPh sb="33" eb="35">
      <t>コウゲキ</t>
    </rPh>
    <rPh sb="36" eb="37">
      <t>オコナ</t>
    </rPh>
    <rPh sb="39" eb="40">
      <t>トキ</t>
    </rPh>
    <phoneticPr fontId="1"/>
  </si>
  <si>
    <t>　　君は即応・割込としてその敵に１回の近接基礎攻撃を行う事ができる。</t>
    <rPh sb="2" eb="3">
      <t>キミ</t>
    </rPh>
    <rPh sb="4" eb="6">
      <t>ソクオウ</t>
    </rPh>
    <rPh sb="7" eb="9">
      <t>ワリコ</t>
    </rPh>
    <rPh sb="14" eb="15">
      <t>テキ</t>
    </rPh>
    <rPh sb="17" eb="18">
      <t>カイ</t>
    </rPh>
    <rPh sb="19" eb="21">
      <t>キンセツ</t>
    </rPh>
    <rPh sb="21" eb="23">
      <t>キソ</t>
    </rPh>
    <rPh sb="23" eb="25">
      <t>コウゲキ</t>
    </rPh>
    <rPh sb="26" eb="27">
      <t>オコナ</t>
    </rPh>
    <rPh sb="28" eb="29">
      <t>コト</t>
    </rPh>
    <phoneticPr fontId="1"/>
  </si>
  <si>
    <t>ウォーデン/ホーンド・チャンピオン</t>
    <phoneticPr fontId="1"/>
  </si>
  <si>
    <t>　　君が追加で１回の攻撃を行うためにAPを消費した際、その攻撃がミスしたなら、</t>
    <rPh sb="2" eb="3">
      <t>キミ</t>
    </rPh>
    <rPh sb="4" eb="6">
      <t>ツイカ</t>
    </rPh>
    <rPh sb="10" eb="12">
      <t>コウゲキ</t>
    </rPh>
    <rPh sb="13" eb="14">
      <t>オコナ</t>
    </rPh>
    <rPh sb="21" eb="23">
      <t>ショウヒ</t>
    </rPh>
    <rPh sb="25" eb="26">
      <t>サイ</t>
    </rPh>
    <rPh sb="29" eb="31">
      <t>コウゲキ</t>
    </rPh>
    <phoneticPr fontId="1"/>
  </si>
  <si>
    <t>基本</t>
    <rPh sb="0" eb="2">
      <t>キホン</t>
    </rPh>
    <phoneticPr fontId="32"/>
  </si>
  <si>
    <t>ダメージ</t>
    <phoneticPr fontId="1"/>
  </si>
  <si>
    <t>クリティカル</t>
    <phoneticPr fontId="1"/>
  </si>
  <si>
    <t>（インチキ）重傷時、再生　６</t>
    <rPh sb="6" eb="8">
      <t>ジュウショウ</t>
    </rPh>
    <rPh sb="8" eb="9">
      <t>ジ</t>
    </rPh>
    <rPh sb="10" eb="12">
      <t>サイセイ</t>
    </rPh>
    <phoneticPr fontId="1"/>
  </si>
  <si>
    <t>　　減速、不動、移動困難と通常移動が苦手とする要素に対して一通り弱いのも難点・・・。</t>
    <rPh sb="2" eb="4">
      <t>ゲンソク</t>
    </rPh>
    <rPh sb="5" eb="7">
      <t>フドウ</t>
    </rPh>
    <rPh sb="8" eb="10">
      <t>イドウ</t>
    </rPh>
    <rPh sb="10" eb="12">
      <t>コンナン</t>
    </rPh>
    <rPh sb="13" eb="15">
      <t>ツウジョウ</t>
    </rPh>
    <rPh sb="15" eb="17">
      <t>イドウ</t>
    </rPh>
    <rPh sb="18" eb="20">
      <t>ニガテ</t>
    </rPh>
    <rPh sb="23" eb="25">
      <t>ヨウソ</t>
    </rPh>
    <rPh sb="26" eb="27">
      <t>タイ</t>
    </rPh>
    <rPh sb="29" eb="31">
      <t>ヒトトオ</t>
    </rPh>
    <rPh sb="32" eb="33">
      <t>ヨワ</t>
    </rPh>
    <rPh sb="36" eb="38">
      <t>ナンテン</t>
    </rPh>
    <phoneticPr fontId="1"/>
  </si>
  <si>
    <t>この移動の間にいずれかのクリーチャーが使用者に対して機会攻撃を行ったなら、</t>
    <rPh sb="2" eb="4">
      <t>イドウ</t>
    </rPh>
    <rPh sb="5" eb="6">
      <t>アイダ</t>
    </rPh>
    <rPh sb="19" eb="21">
      <t>シヨウ</t>
    </rPh>
    <rPh sb="21" eb="22">
      <t>シャ</t>
    </rPh>
    <rPh sb="23" eb="24">
      <t>タイ</t>
    </rPh>
    <rPh sb="26" eb="28">
      <t>キカイ</t>
    </rPh>
    <rPh sb="28" eb="30">
      <t>コウゲキ</t>
    </rPh>
    <rPh sb="31" eb="32">
      <t>オコナ</t>
    </rPh>
    <phoneticPr fontId="1"/>
  </si>
  <si>
    <t>　　機会攻撃前に雑魚を確実に始末可能なので、凶悪な部類と言える。</t>
    <rPh sb="2" eb="6">
      <t>キカイコウゲキ</t>
    </rPh>
    <rPh sb="6" eb="7">
      <t>マエ</t>
    </rPh>
    <rPh sb="8" eb="10">
      <t>ザコ</t>
    </rPh>
    <rPh sb="11" eb="13">
      <t>カクジツ</t>
    </rPh>
    <rPh sb="14" eb="16">
      <t>シマツ</t>
    </rPh>
    <rPh sb="16" eb="18">
      <t>カノウ</t>
    </rPh>
    <rPh sb="22" eb="24">
      <t>キョウアク</t>
    </rPh>
    <rPh sb="25" eb="27">
      <t>ブルイ</t>
    </rPh>
    <rPh sb="28" eb="29">
      <t>イ</t>
    </rPh>
    <phoneticPr fontId="1"/>
  </si>
  <si>
    <t>　　最大の不確定要素は、そもそも雑魚がわざわざ機会攻撃をしてくれるか否かである（笑）。</t>
    <rPh sb="2" eb="4">
      <t>サイダイ</t>
    </rPh>
    <rPh sb="5" eb="6">
      <t>フ</t>
    </rPh>
    <rPh sb="6" eb="8">
      <t>カクテイ</t>
    </rPh>
    <rPh sb="8" eb="10">
      <t>ヨウソ</t>
    </rPh>
    <rPh sb="16" eb="18">
      <t>ザコ</t>
    </rPh>
    <rPh sb="23" eb="27">
      <t>キカイコウゲキ</t>
    </rPh>
    <rPh sb="34" eb="35">
      <t>イナ</t>
    </rPh>
    <rPh sb="40" eb="41">
      <t>ワライ</t>
    </rPh>
    <phoneticPr fontId="1"/>
  </si>
  <si>
    <t>　　ついでに伏せも付いていた場合、</t>
    <rPh sb="6" eb="7">
      <t>フ</t>
    </rPh>
    <rPh sb="9" eb="10">
      <t>ツ</t>
    </rPh>
    <rPh sb="14" eb="16">
      <t>バアイ</t>
    </rPh>
    <phoneticPr fontId="1"/>
  </si>
  <si>
    <t>ステイ・バック</t>
    <phoneticPr fontId="1"/>
  </si>
  <si>
    <t>　　どうせなら事前にステイ・バックも撃っておく？</t>
    <rPh sb="7" eb="9">
      <t>ジゼン</t>
    </rPh>
    <rPh sb="18" eb="19">
      <t>ウ</t>
    </rPh>
    <phoneticPr fontId="1"/>
  </si>
  <si>
    <t>　　前準備として</t>
    <rPh sb="2" eb="3">
      <t>マエ</t>
    </rPh>
    <rPh sb="3" eb="5">
      <t>ジュンビ</t>
    </rPh>
    <phoneticPr fontId="1"/>
  </si>
  <si>
    <t>　　無理矢理機会攻撃を誘発するリスクを大幅に軽減可能！</t>
    <rPh sb="2" eb="6">
      <t>ムリヤリ</t>
    </rPh>
    <rPh sb="6" eb="10">
      <t>キカイコウゲキ</t>
    </rPh>
    <rPh sb="11" eb="13">
      <t>ユウハツ</t>
    </rPh>
    <rPh sb="19" eb="21">
      <t>オオハバ</t>
    </rPh>
    <rPh sb="22" eb="24">
      <t>ケイゲン</t>
    </rPh>
    <rPh sb="24" eb="26">
      <t>カノウ</t>
    </rPh>
    <phoneticPr fontId="1"/>
  </si>
  <si>
    <t>　　・アンティシペイション・タクティクスがまだ余っている</t>
    <rPh sb="23" eb="24">
      <t>アマ</t>
    </rPh>
    <phoneticPr fontId="1"/>
  </si>
  <si>
    <t>　　一応、機会攻撃の間合いに対してもバッチリ発動するのは嬉しい。</t>
    <rPh sb="2" eb="4">
      <t>イチオウ</t>
    </rPh>
    <rPh sb="5" eb="9">
      <t>キカイコウゲキ</t>
    </rPh>
    <rPh sb="10" eb="12">
      <t>マア</t>
    </rPh>
    <rPh sb="14" eb="15">
      <t>タイ</t>
    </rPh>
    <rPh sb="22" eb="24">
      <t>ハツドウ</t>
    </rPh>
    <rPh sb="28" eb="29">
      <t>ウレ</t>
    </rPh>
    <phoneticPr fontId="1"/>
  </si>
  <si>
    <t>　　といった仕込みが必須だが、準備が完了したらインペチュアス・ストライドでＧＯ！</t>
    <rPh sb="6" eb="8">
      <t>シコ</t>
    </rPh>
    <rPh sb="10" eb="12">
      <t>ヒッス</t>
    </rPh>
    <rPh sb="15" eb="17">
      <t>ジュンビ</t>
    </rPh>
    <rPh sb="18" eb="20">
      <t>カンリョウ</t>
    </rPh>
    <phoneticPr fontId="1"/>
  </si>
  <si>
    <t>　　・アイアー増幅２の脆弱性を付けた　（絶対に必要って訳でも無いが）</t>
    <rPh sb="7" eb="9">
      <t>ゾウフク</t>
    </rPh>
    <rPh sb="11" eb="14">
      <t>ゼイジャクセイ</t>
    </rPh>
    <rPh sb="15" eb="16">
      <t>ツ</t>
    </rPh>
    <rPh sb="20" eb="22">
      <t>ゼッタイ</t>
    </rPh>
    <rPh sb="23" eb="25">
      <t>ヒツヨウ</t>
    </rPh>
    <rPh sb="27" eb="28">
      <t>ワケ</t>
    </rPh>
    <rPh sb="30" eb="31">
      <t>ナ</t>
    </rPh>
    <phoneticPr fontId="1"/>
  </si>
  <si>
    <t>　　・シェリーの３マス以内にリュカオン（とオテギヌ）がスタンバイ　（敵と隣接する必要は一応無し）</t>
    <rPh sb="11" eb="13">
      <t>イナイ</t>
    </rPh>
    <rPh sb="34" eb="35">
      <t>テキ</t>
    </rPh>
    <rPh sb="36" eb="38">
      <t>リンセツ</t>
    </rPh>
    <rPh sb="40" eb="42">
      <t>ヒツヨウ</t>
    </rPh>
    <rPh sb="43" eb="45">
      <t>イチオウ</t>
    </rPh>
    <rPh sb="45" eb="46">
      <t>ナ</t>
    </rPh>
    <phoneticPr fontId="1"/>
  </si>
  <si>
    <t>　　②シェリーが即応割込でアンティシペイション・タクティクス増幅２発動！　⇒　未増幅でも可</t>
    <rPh sb="8" eb="10">
      <t>ソクオウ</t>
    </rPh>
    <rPh sb="10" eb="11">
      <t>ワ</t>
    </rPh>
    <rPh sb="11" eb="12">
      <t>コ</t>
    </rPh>
    <rPh sb="30" eb="32">
      <t>ゾウフク</t>
    </rPh>
    <rPh sb="33" eb="35">
      <t>ハツドウ</t>
    </rPh>
    <rPh sb="39" eb="40">
      <t>ミ</t>
    </rPh>
    <rPh sb="40" eb="42">
      <t>ゾウフク</t>
    </rPh>
    <rPh sb="44" eb="45">
      <t>カ</t>
    </rPh>
    <phoneticPr fontId="1"/>
  </si>
  <si>
    <t>　　③すかさずリュカオンがシフト　⇒　敵が間合い持ちでない場合、機会攻撃を回避！</t>
    <rPh sb="19" eb="20">
      <t>テキ</t>
    </rPh>
    <rPh sb="21" eb="23">
      <t>マア</t>
    </rPh>
    <rPh sb="24" eb="25">
      <t>モ</t>
    </rPh>
    <rPh sb="29" eb="31">
      <t>バアイ</t>
    </rPh>
    <rPh sb="32" eb="36">
      <t>キカイコウゲキ</t>
    </rPh>
    <rPh sb="37" eb="39">
      <t>カイヒ</t>
    </rPh>
    <phoneticPr fontId="1"/>
  </si>
  <si>
    <t>　　④リュカオンが近接基礎攻撃　⇒　全て移動アクション中の出来事である（笑）</t>
    <rPh sb="9" eb="11">
      <t>キンセツ</t>
    </rPh>
    <rPh sb="11" eb="13">
      <t>キソ</t>
    </rPh>
    <rPh sb="13" eb="15">
      <t>コウゲキ</t>
    </rPh>
    <rPh sb="18" eb="19">
      <t>スベ</t>
    </rPh>
    <rPh sb="20" eb="22">
      <t>イドウ</t>
    </rPh>
    <rPh sb="27" eb="28">
      <t>ナカ</t>
    </rPh>
    <rPh sb="29" eb="31">
      <t>デキ</t>
    </rPh>
    <rPh sb="31" eb="32">
      <t>コト</t>
    </rPh>
    <rPh sb="36" eb="37">
      <t>ワライ</t>
    </rPh>
    <phoneticPr fontId="1"/>
  </si>
  <si>
    <t>　　⑤続けてオテギヌ（場合によってはシェリー）も近接基礎攻撃　⇒　未だ移動アクション中</t>
    <rPh sb="3" eb="4">
      <t>ツヅ</t>
    </rPh>
    <rPh sb="11" eb="13">
      <t>バアイ</t>
    </rPh>
    <rPh sb="24" eb="26">
      <t>キンセツ</t>
    </rPh>
    <rPh sb="26" eb="28">
      <t>キソ</t>
    </rPh>
    <rPh sb="28" eb="30">
      <t>コウゲキ</t>
    </rPh>
    <rPh sb="33" eb="34">
      <t>イマ</t>
    </rPh>
    <rPh sb="35" eb="37">
      <t>イドウ</t>
    </rPh>
    <rPh sb="42" eb="43">
      <t>チュウ</t>
    </rPh>
    <phoneticPr fontId="1"/>
  </si>
  <si>
    <t>　　⑥ようやくインペチュアス・ストライドの続きが可能</t>
    <rPh sb="21" eb="22">
      <t>ツヅ</t>
    </rPh>
    <rPh sb="24" eb="26">
      <t>カノウ</t>
    </rPh>
    <phoneticPr fontId="1"/>
  </si>
  <si>
    <t>　　心衣が付いているなら、いいんじゃない？　既に伏せまであったらなお良し。</t>
    <rPh sb="2" eb="3">
      <t>ココロ</t>
    </rPh>
    <rPh sb="3" eb="4">
      <t>コロモ</t>
    </rPh>
    <rPh sb="5" eb="6">
      <t>ツ</t>
    </rPh>
    <rPh sb="22" eb="23">
      <t>スデ</t>
    </rPh>
    <rPh sb="24" eb="25">
      <t>フ</t>
    </rPh>
    <rPh sb="34" eb="35">
      <t>ヨ</t>
    </rPh>
    <phoneticPr fontId="1"/>
  </si>
  <si>
    <t>①敵が機会攻撃可能でないと意味無し芳一</t>
    <rPh sb="1" eb="2">
      <t>テキ</t>
    </rPh>
    <rPh sb="3" eb="5">
      <t>キカイ</t>
    </rPh>
    <rPh sb="5" eb="7">
      <t>コウゲキ</t>
    </rPh>
    <rPh sb="7" eb="9">
      <t>カノウ</t>
    </rPh>
    <rPh sb="13" eb="15">
      <t>イミ</t>
    </rPh>
    <rPh sb="15" eb="16">
      <t>ナ</t>
    </rPh>
    <rPh sb="17" eb="18">
      <t>ホウ</t>
    </rPh>
    <rPh sb="18" eb="19">
      <t>イチ</t>
    </rPh>
    <phoneticPr fontId="1"/>
  </si>
  <si>
    <t>　　敵が盲目、幻惑、朦朧等だった場合、通常移動するのと全く相違無し。</t>
    <rPh sb="2" eb="3">
      <t>テキ</t>
    </rPh>
    <rPh sb="4" eb="6">
      <t>モウモク</t>
    </rPh>
    <rPh sb="7" eb="9">
      <t>ゲンワク</t>
    </rPh>
    <rPh sb="10" eb="12">
      <t>モウロウ</t>
    </rPh>
    <rPh sb="12" eb="13">
      <t>トウ</t>
    </rPh>
    <rPh sb="16" eb="18">
      <t>バアイ</t>
    </rPh>
    <rPh sb="19" eb="21">
      <t>ツウジョウ</t>
    </rPh>
    <rPh sb="21" eb="23">
      <t>イドウ</t>
    </rPh>
    <rPh sb="27" eb="28">
      <t>マッタ</t>
    </rPh>
    <rPh sb="29" eb="31">
      <t>ソウイ</t>
    </rPh>
    <rPh sb="31" eb="32">
      <t>ナ</t>
    </rPh>
    <phoneticPr fontId="1"/>
  </si>
  <si>
    <t>③雑魚を始末</t>
    <rPh sb="1" eb="3">
      <t>ザコ</t>
    </rPh>
    <rPh sb="4" eb="6">
      <t>シマツ</t>
    </rPh>
    <phoneticPr fontId="1"/>
  </si>
  <si>
    <t>④アールジェイのマークを上書きする前に狙う</t>
    <rPh sb="12" eb="14">
      <t>ウワガ</t>
    </rPh>
    <rPh sb="17" eb="18">
      <t>マエ</t>
    </rPh>
    <rPh sb="19" eb="20">
      <t>ネラ</t>
    </rPh>
    <phoneticPr fontId="1"/>
  </si>
  <si>
    <t>⑤本命はシェリーのアンティシペイション・タクティクス増幅２とのコンボ</t>
    <rPh sb="1" eb="3">
      <t>ホンメイ</t>
    </rPh>
    <rPh sb="26" eb="28">
      <t>ゾウフク</t>
    </rPh>
    <phoneticPr fontId="1"/>
  </si>
  <si>
    <t>　　⑦リュカオンのターン中にＡＰ抜きで攻撃３回＆確定ダメージが飛ぶのは壮絶・・・</t>
    <rPh sb="12" eb="13">
      <t>チュウ</t>
    </rPh>
    <rPh sb="16" eb="17">
      <t>ヌ</t>
    </rPh>
    <rPh sb="19" eb="21">
      <t>コウゲキ</t>
    </rPh>
    <rPh sb="22" eb="23">
      <t>カイ</t>
    </rPh>
    <rPh sb="24" eb="26">
      <t>カクテイ</t>
    </rPh>
    <rPh sb="31" eb="32">
      <t>ト</t>
    </rPh>
    <rPh sb="35" eb="37">
      <t>ソウゼツ</t>
    </rPh>
    <phoneticPr fontId="1"/>
  </si>
  <si>
    <t>①標準アクション１つで、ありとあらゆる妨害を押しのけて　７マス先の敵を殴れる！</t>
    <rPh sb="1" eb="3">
      <t>ヒョウジュン</t>
    </rPh>
    <rPh sb="19" eb="21">
      <t>ボウガイ</t>
    </rPh>
    <rPh sb="22" eb="23">
      <t>オ</t>
    </rPh>
    <rPh sb="31" eb="32">
      <t>サキ</t>
    </rPh>
    <rPh sb="33" eb="34">
      <t>テキ</t>
    </rPh>
    <rPh sb="35" eb="36">
      <t>ナグ</t>
    </rPh>
    <phoneticPr fontId="1"/>
  </si>
  <si>
    <r>
      <t>使用者の</t>
    </r>
    <r>
      <rPr>
        <b/>
        <sz val="11"/>
        <color rgb="FFFF0000"/>
        <rFont val="ＭＳ Ｐゴシック"/>
        <family val="3"/>
        <charset val="128"/>
        <scheme val="minor"/>
      </rPr>
      <t>間合いの内にいる１体の敵</t>
    </r>
    <r>
      <rPr>
        <sz val="11"/>
        <rFont val="ＭＳ Ｐゴシック"/>
        <family val="3"/>
        <charset val="128"/>
        <scheme val="minor"/>
      </rPr>
      <t>が使用者の味方に対して１回の</t>
    </r>
    <r>
      <rPr>
        <b/>
        <sz val="11"/>
        <color rgb="FFFF0000"/>
        <rFont val="ＭＳ Ｐゴシック"/>
        <family val="3"/>
        <charset val="128"/>
        <scheme val="minor"/>
      </rPr>
      <t>近接攻撃</t>
    </r>
    <r>
      <rPr>
        <sz val="11"/>
        <rFont val="ＭＳ Ｐゴシック"/>
        <family val="3"/>
        <charset val="128"/>
        <scheme val="minor"/>
      </rPr>
      <t>を行う</t>
    </r>
    <rPh sb="0" eb="2">
      <t>シヨウ</t>
    </rPh>
    <rPh sb="2" eb="3">
      <t>シャ</t>
    </rPh>
    <rPh sb="4" eb="6">
      <t>マア</t>
    </rPh>
    <rPh sb="8" eb="9">
      <t>ウチ</t>
    </rPh>
    <rPh sb="13" eb="14">
      <t>タイ</t>
    </rPh>
    <rPh sb="15" eb="16">
      <t>テキ</t>
    </rPh>
    <rPh sb="17" eb="19">
      <t>シヨウ</t>
    </rPh>
    <rPh sb="19" eb="20">
      <t>シャ</t>
    </rPh>
    <rPh sb="21" eb="23">
      <t>ミカタ</t>
    </rPh>
    <rPh sb="24" eb="25">
      <t>タイ</t>
    </rPh>
    <rPh sb="28" eb="29">
      <t>カイ</t>
    </rPh>
    <rPh sb="30" eb="32">
      <t>キンセツ</t>
    </rPh>
    <rPh sb="32" eb="34">
      <t>コウゲキ</t>
    </rPh>
    <rPh sb="35" eb="36">
      <t>オコナ</t>
    </rPh>
    <phoneticPr fontId="1"/>
  </si>
  <si>
    <t>　　機会攻撃を喰らうリスクを冒して得られるメリットはコレ単体ではそれ程大きく無い故に</t>
    <rPh sb="2" eb="4">
      <t>キカイ</t>
    </rPh>
    <rPh sb="4" eb="6">
      <t>コウゲキ</t>
    </rPh>
    <rPh sb="7" eb="8">
      <t>ク</t>
    </rPh>
    <rPh sb="14" eb="15">
      <t>オカ</t>
    </rPh>
    <rPh sb="17" eb="18">
      <t>エ</t>
    </rPh>
    <rPh sb="28" eb="30">
      <t>タンタイ</t>
    </rPh>
    <rPh sb="34" eb="35">
      <t>ホド</t>
    </rPh>
    <rPh sb="35" eb="36">
      <t>オオ</t>
    </rPh>
    <rPh sb="38" eb="39">
      <t>ナ</t>
    </rPh>
    <rPh sb="40" eb="41">
      <t>ユエ</t>
    </rPh>
    <phoneticPr fontId="1"/>
  </si>
  <si>
    <t>　　他のパワー（当然味方含む）とのコンボを基準に考えるべきか？</t>
    <rPh sb="2" eb="3">
      <t>ホカ</t>
    </rPh>
    <rPh sb="8" eb="10">
      <t>トウゼン</t>
    </rPh>
    <rPh sb="10" eb="12">
      <t>ミカタ</t>
    </rPh>
    <rPh sb="12" eb="13">
      <t>フク</t>
    </rPh>
    <rPh sb="21" eb="23">
      <t>キジュン</t>
    </rPh>
    <rPh sb="24" eb="25">
      <t>カンガ</t>
    </rPh>
    <phoneticPr fontId="1"/>
  </si>
  <si>
    <t>　　機会攻撃誘発目的で使用するよりも、どうしても移動する必要がある時に使うのがベターかも。</t>
    <rPh sb="2" eb="6">
      <t>キカイコウゲキ</t>
    </rPh>
    <rPh sb="6" eb="8">
      <t>ユウハツ</t>
    </rPh>
    <rPh sb="8" eb="10">
      <t>モクテキ</t>
    </rPh>
    <rPh sb="11" eb="13">
      <t>シヨウ</t>
    </rPh>
    <rPh sb="24" eb="26">
      <t>イドウ</t>
    </rPh>
    <rPh sb="28" eb="30">
      <t>ヒツヨウ</t>
    </rPh>
    <rPh sb="33" eb="34">
      <t>トキ</t>
    </rPh>
    <rPh sb="35" eb="36">
      <t>ツカ</t>
    </rPh>
    <phoneticPr fontId="1"/>
  </si>
  <si>
    <t>フォーム・オヴ・ジ・オーク・センティネル</t>
    <phoneticPr fontId="1"/>
  </si>
  <si>
    <t>　　オーク・センティネル中は変身効果とコレ、両方の確定ダメージそれぞれに脆弱性が乗る！</t>
    <rPh sb="12" eb="13">
      <t>チュウ</t>
    </rPh>
    <rPh sb="14" eb="16">
      <t>ヘンシン</t>
    </rPh>
    <rPh sb="16" eb="18">
      <t>コウカ</t>
    </rPh>
    <rPh sb="22" eb="24">
      <t>リョウホウ</t>
    </rPh>
    <rPh sb="25" eb="27">
      <t>カクテイ</t>
    </rPh>
    <rPh sb="36" eb="39">
      <t>ゼイジャクセイ</t>
    </rPh>
    <rPh sb="40" eb="41">
      <t>ノ</t>
    </rPh>
    <phoneticPr fontId="1"/>
  </si>
  <si>
    <t>言うまでも無く、間合い武器と相性の良いパワー全てと相性抜群だが、</t>
    <rPh sb="0" eb="1">
      <t>イ</t>
    </rPh>
    <rPh sb="5" eb="6">
      <t>ナ</t>
    </rPh>
    <rPh sb="8" eb="10">
      <t>マア</t>
    </rPh>
    <rPh sb="11" eb="13">
      <t>ブキ</t>
    </rPh>
    <rPh sb="14" eb="16">
      <t>アイショウ</t>
    </rPh>
    <rPh sb="17" eb="18">
      <t>ヨ</t>
    </rPh>
    <rPh sb="22" eb="23">
      <t>スベ</t>
    </rPh>
    <rPh sb="25" eb="27">
      <t>アイショウ</t>
    </rPh>
    <rPh sb="27" eb="29">
      <t>バツグン</t>
    </rPh>
    <phoneticPr fontId="1"/>
  </si>
  <si>
    <t>間合いが伸びる効果は、確定ダメージの方の効果とのシナジーがほとんど無いので、</t>
    <rPh sb="0" eb="2">
      <t>マア</t>
    </rPh>
    <rPh sb="4" eb="5">
      <t>ノ</t>
    </rPh>
    <rPh sb="7" eb="9">
      <t>コウカ</t>
    </rPh>
    <rPh sb="11" eb="13">
      <t>カクテイ</t>
    </rPh>
    <rPh sb="18" eb="19">
      <t>ホウ</t>
    </rPh>
    <rPh sb="20" eb="22">
      <t>コウカ</t>
    </rPh>
    <rPh sb="33" eb="34">
      <t>ナ</t>
    </rPh>
    <phoneticPr fontId="1"/>
  </si>
  <si>
    <t>後者を活かすには（インペチュアス・ストライドみたいな）特別な行動が必要か？</t>
    <rPh sb="0" eb="2">
      <t>コウシャ</t>
    </rPh>
    <rPh sb="3" eb="4">
      <t>イ</t>
    </rPh>
    <rPh sb="27" eb="29">
      <t>トクベツ</t>
    </rPh>
    <rPh sb="30" eb="32">
      <t>コウドウ</t>
    </rPh>
    <rPh sb="33" eb="35">
      <t>ヒツヨウ</t>
    </rPh>
    <phoneticPr fontId="1"/>
  </si>
  <si>
    <t>恐らく、爆発力よりも汎用性を重視したデザインになっているのではなかろうか？</t>
    <rPh sb="0" eb="1">
      <t>オソ</t>
    </rPh>
    <rPh sb="4" eb="7">
      <t>バクハツリョク</t>
    </rPh>
    <rPh sb="10" eb="13">
      <t>ハンヨウセイ</t>
    </rPh>
    <rPh sb="14" eb="16">
      <t>ジュウシ</t>
    </rPh>
    <phoneticPr fontId="1"/>
  </si>
  <si>
    <t>ウォーデンの変身は、１つの変身中の各効果にシナジーがほとんど無い傾向が強いように思われる。</t>
    <rPh sb="6" eb="8">
      <t>ヘンシン</t>
    </rPh>
    <rPh sb="13" eb="16">
      <t>ヘンシンチュウ</t>
    </rPh>
    <rPh sb="17" eb="18">
      <t>カク</t>
    </rPh>
    <rPh sb="18" eb="20">
      <t>コウカ</t>
    </rPh>
    <rPh sb="30" eb="31">
      <t>ナ</t>
    </rPh>
    <rPh sb="32" eb="34">
      <t>ケイコウ</t>
    </rPh>
    <rPh sb="35" eb="36">
      <t>ツヨ</t>
    </rPh>
    <rPh sb="40" eb="41">
      <t>オモ</t>
    </rPh>
    <phoneticPr fontId="1"/>
  </si>
  <si>
    <t>ワイルドブラッド・フレンジー</t>
    <phoneticPr fontId="1"/>
  </si>
  <si>
    <t>④幻惑中の敵を伏せさせる</t>
    <rPh sb="1" eb="3">
      <t>ゲンワク</t>
    </rPh>
    <rPh sb="3" eb="4">
      <t>チュウ</t>
    </rPh>
    <rPh sb="5" eb="6">
      <t>テキ</t>
    </rPh>
    <rPh sb="7" eb="8">
      <t>フ</t>
    </rPh>
    <phoneticPr fontId="1"/>
  </si>
  <si>
    <t>　　間合いを活かして幻惑中の敵に対してバラ撒く！</t>
    <rPh sb="2" eb="4">
      <t>マア</t>
    </rPh>
    <rPh sb="6" eb="7">
      <t>イ</t>
    </rPh>
    <rPh sb="10" eb="12">
      <t>ゲンワク</t>
    </rPh>
    <rPh sb="12" eb="13">
      <t>チュウ</t>
    </rPh>
    <rPh sb="14" eb="15">
      <t>テキ</t>
    </rPh>
    <rPh sb="16" eb="17">
      <t>タイ</t>
    </rPh>
    <rPh sb="21" eb="22">
      <t>マ</t>
    </rPh>
    <phoneticPr fontId="1"/>
  </si>
  <si>
    <r>
      <t>　　君が機会攻撃で敵をヒットしたなら、その敵は自身のT終まで”</t>
    </r>
    <r>
      <rPr>
        <b/>
        <sz val="11"/>
        <color rgb="FFFF0000"/>
        <rFont val="ＭＳ Ｐゴシック"/>
        <family val="3"/>
        <charset val="128"/>
        <scheme val="minor"/>
      </rPr>
      <t>減速状態</t>
    </r>
    <r>
      <rPr>
        <sz val="11"/>
        <color theme="1"/>
        <rFont val="ＭＳ Ｐゴシック"/>
        <family val="3"/>
        <charset val="128"/>
        <scheme val="minor"/>
      </rPr>
      <t>”となる。、</t>
    </r>
    <rPh sb="2" eb="3">
      <t>キミ</t>
    </rPh>
    <rPh sb="4" eb="6">
      <t>キカイ</t>
    </rPh>
    <rPh sb="6" eb="8">
      <t>コウゲキ</t>
    </rPh>
    <rPh sb="9" eb="10">
      <t>テキ</t>
    </rPh>
    <rPh sb="21" eb="22">
      <t>テキ</t>
    </rPh>
    <rPh sb="23" eb="25">
      <t>ジシン</t>
    </rPh>
    <rPh sb="27" eb="28">
      <t>シュウ</t>
    </rPh>
    <rPh sb="31" eb="33">
      <t>ゲンソク</t>
    </rPh>
    <rPh sb="33" eb="35">
      <t>ジョウタイ</t>
    </rPh>
    <phoneticPr fontId="1"/>
  </si>
  <si>
    <t>突撃から確実にマーク可能なクラスが実はほとんどいないので超優秀！</t>
    <rPh sb="0" eb="2">
      <t>トツゲキ</t>
    </rPh>
    <rPh sb="4" eb="6">
      <t>カクジツ</t>
    </rPh>
    <rPh sb="10" eb="12">
      <t>カノウ</t>
    </rPh>
    <rPh sb="17" eb="18">
      <t>ジツ</t>
    </rPh>
    <rPh sb="28" eb="29">
      <t>チョウ</t>
    </rPh>
    <rPh sb="29" eb="31">
      <t>ユウシュウ</t>
    </rPh>
    <phoneticPr fontId="1"/>
  </si>
  <si>
    <t>突撃中に辻マークしつつ（心衣万歳）、さらに離れた先の目標もマーク可能なので夢は広がる。</t>
    <rPh sb="0" eb="2">
      <t>トツゲキ</t>
    </rPh>
    <rPh sb="2" eb="3">
      <t>チュウ</t>
    </rPh>
    <rPh sb="4" eb="5">
      <t>ツジ</t>
    </rPh>
    <rPh sb="12" eb="13">
      <t>ココロ</t>
    </rPh>
    <rPh sb="13" eb="14">
      <t>コロモ</t>
    </rPh>
    <rPh sb="14" eb="16">
      <t>バンザイ</t>
    </rPh>
    <rPh sb="21" eb="22">
      <t>ハナ</t>
    </rPh>
    <rPh sb="24" eb="25">
      <t>サキ</t>
    </rPh>
    <rPh sb="26" eb="28">
      <t>モクヒョウ</t>
    </rPh>
    <rPh sb="32" eb="34">
      <t>カノウ</t>
    </rPh>
    <rPh sb="37" eb="38">
      <t>ユメ</t>
    </rPh>
    <rPh sb="39" eb="40">
      <t>ヒロ</t>
    </rPh>
    <phoneticPr fontId="1"/>
  </si>
  <si>
    <r>
      <rPr>
        <b/>
        <sz val="11"/>
        <color rgb="FFFF0000"/>
        <rFont val="ＭＳ Ｐゴシック"/>
        <family val="3"/>
        <charset val="128"/>
        <scheme val="minor"/>
      </rPr>
      <t>目標をマークするのは義務</t>
    </r>
    <r>
      <rPr>
        <sz val="11"/>
        <color theme="1"/>
        <rFont val="ＭＳ Ｐゴシック"/>
        <family val="2"/>
        <charset val="128"/>
        <scheme val="minor"/>
      </rPr>
      <t>なので、実は基礎攻撃との使い分けが大事・・・。</t>
    </r>
    <rPh sb="0" eb="2">
      <t>モクヒョウ</t>
    </rPh>
    <rPh sb="10" eb="12">
      <t>ギム</t>
    </rPh>
    <rPh sb="16" eb="17">
      <t>ジツ</t>
    </rPh>
    <rPh sb="18" eb="20">
      <t>キソ</t>
    </rPh>
    <rPh sb="20" eb="22">
      <t>コウゲキ</t>
    </rPh>
    <rPh sb="24" eb="25">
      <t>ツカ</t>
    </rPh>
    <rPh sb="26" eb="27">
      <t>ワ</t>
    </rPh>
    <rPh sb="29" eb="31">
      <t>ダイジ</t>
    </rPh>
    <phoneticPr fontId="1"/>
  </si>
  <si>
    <t>イーライ　　ＡＰ</t>
    <phoneticPr fontId="1"/>
  </si>
  <si>
    <t>イーライ　ＡＰ</t>
    <phoneticPr fontId="1"/>
  </si>
  <si>
    <t>ウォーデンズ・ランジ</t>
    <phoneticPr fontId="1"/>
  </si>
  <si>
    <t>　　パワー [日]：フリー･アクション</t>
    <rPh sb="7" eb="8">
      <t>ヒ</t>
    </rPh>
    <phoneticPr fontId="1"/>
  </si>
  <si>
    <t>　　　トリガー：使用者が突撃をする時にこのPowを使用する。</t>
    <rPh sb="25" eb="27">
      <t>シヨウ</t>
    </rPh>
    <phoneticPr fontId="1"/>
  </si>
  <si>
    <t>防具ペナルティ</t>
    <rPh sb="0" eb="2">
      <t>ボウグ</t>
    </rPh>
    <phoneticPr fontId="1"/>
  </si>
  <si>
    <t>能力+Lv1/2</t>
    <rPh sb="0" eb="2">
      <t>ノウリョク</t>
    </rPh>
    <phoneticPr fontId="1"/>
  </si>
  <si>
    <t>防具
ペナ</t>
    <rPh sb="0" eb="2">
      <t>ボウグ</t>
    </rPh>
    <phoneticPr fontId="1"/>
  </si>
  <si>
    <t>その他</t>
    <rPh sb="2" eb="3">
      <t>タ</t>
    </rPh>
    <phoneticPr fontId="1"/>
  </si>
  <si>
    <t>&lt;威圧&gt;</t>
    <rPh sb="1" eb="3">
      <t>イアツ</t>
    </rPh>
    <phoneticPr fontId="1"/>
  </si>
  <si>
    <t>【魅】</t>
    <rPh sb="1" eb="2">
      <t>ミ</t>
    </rPh>
    <phoneticPr fontId="1"/>
  </si>
  <si>
    <t>&lt;運動&gt;</t>
    <rPh sb="1" eb="3">
      <t>ウンドウ</t>
    </rPh>
    <phoneticPr fontId="1"/>
  </si>
  <si>
    <t>【筋】</t>
    <rPh sb="1" eb="2">
      <t>キン</t>
    </rPh>
    <phoneticPr fontId="1"/>
  </si>
  <si>
    <t>&lt;隠密&gt;</t>
    <rPh sb="1" eb="3">
      <t>オンミツ</t>
    </rPh>
    <phoneticPr fontId="1"/>
  </si>
  <si>
    <t>【敏】</t>
    <rPh sb="1" eb="2">
      <t>トシ</t>
    </rPh>
    <phoneticPr fontId="1"/>
  </si>
  <si>
    <t>&lt;軽業&gt;</t>
    <rPh sb="1" eb="3">
      <t>カルワザ</t>
    </rPh>
    <phoneticPr fontId="1"/>
  </si>
  <si>
    <t>&lt;看破&gt;</t>
    <rPh sb="1" eb="3">
      <t>カンパ</t>
    </rPh>
    <phoneticPr fontId="1"/>
  </si>
  <si>
    <t>【判】</t>
    <rPh sb="1" eb="2">
      <t>ハン</t>
    </rPh>
    <phoneticPr fontId="1"/>
  </si>
  <si>
    <t>&lt;交渉&gt;</t>
    <rPh sb="1" eb="3">
      <t>コウショウ</t>
    </rPh>
    <phoneticPr fontId="1"/>
  </si>
  <si>
    <t>&lt;持久力&gt;</t>
    <rPh sb="1" eb="4">
      <t>ジキュウリョク</t>
    </rPh>
    <phoneticPr fontId="1"/>
  </si>
  <si>
    <t>【耐】</t>
    <rPh sb="1" eb="2">
      <t>タイ</t>
    </rPh>
    <phoneticPr fontId="1"/>
  </si>
  <si>
    <t>&lt;事情通&gt;</t>
    <rPh sb="1" eb="3">
      <t>ジジョウ</t>
    </rPh>
    <rPh sb="3" eb="4">
      <t>ツウ</t>
    </rPh>
    <phoneticPr fontId="1"/>
  </si>
  <si>
    <t>&lt;自然&gt;</t>
    <rPh sb="1" eb="3">
      <t>シゼン</t>
    </rPh>
    <phoneticPr fontId="1"/>
  </si>
  <si>
    <t>&lt;宗教&gt;</t>
    <rPh sb="1" eb="3">
      <t>シュウキョウ</t>
    </rPh>
    <phoneticPr fontId="1"/>
  </si>
  <si>
    <t>【知】</t>
    <rPh sb="1" eb="2">
      <t>チ</t>
    </rPh>
    <phoneticPr fontId="1"/>
  </si>
  <si>
    <t>&lt;知覚&gt;</t>
    <rPh sb="1" eb="3">
      <t>チカク</t>
    </rPh>
    <phoneticPr fontId="1"/>
  </si>
  <si>
    <t>&lt;地下探検&gt;</t>
    <rPh sb="1" eb="3">
      <t>チカ</t>
    </rPh>
    <rPh sb="3" eb="5">
      <t>タンケン</t>
    </rPh>
    <phoneticPr fontId="1"/>
  </si>
  <si>
    <t>&lt;治癒&gt;</t>
    <rPh sb="1" eb="3">
      <t>チユ</t>
    </rPh>
    <phoneticPr fontId="1"/>
  </si>
  <si>
    <t>&lt;盗賊&gt;</t>
    <rPh sb="1" eb="3">
      <t>トウゾク</t>
    </rPh>
    <phoneticPr fontId="1"/>
  </si>
  <si>
    <t>&lt;はったり&gt;</t>
    <phoneticPr fontId="1"/>
  </si>
  <si>
    <t>&lt;魔法学&gt;</t>
    <rPh sb="1" eb="3">
      <t>マホウ</t>
    </rPh>
    <rPh sb="3" eb="4">
      <t>ガク</t>
    </rPh>
    <phoneticPr fontId="1"/>
  </si>
  <si>
    <t>&lt;歴史&gt;</t>
    <rPh sb="1" eb="3">
      <t>レキシ</t>
    </rPh>
    <phoneticPr fontId="1"/>
  </si>
  <si>
    <t>値</t>
    <rPh sb="0" eb="1">
      <t>アタイ</t>
    </rPh>
    <phoneticPr fontId="1"/>
  </si>
  <si>
    <t>受動感覚</t>
    <rPh sb="0" eb="2">
      <t>ジュドウ</t>
    </rPh>
    <rPh sb="2" eb="4">
      <t>カンカク</t>
    </rPh>
    <phoneticPr fontId="1"/>
  </si>
  <si>
    <t>基本値</t>
    <rPh sb="0" eb="2">
      <t>キホン</t>
    </rPh>
    <rPh sb="2" eb="3">
      <t>チ</t>
    </rPh>
    <phoneticPr fontId="1"/>
  </si>
  <si>
    <t>受動&lt;看破&gt;</t>
    <rPh sb="0" eb="2">
      <t>ジュドウ</t>
    </rPh>
    <rPh sb="3" eb="5">
      <t>カンパ</t>
    </rPh>
    <phoneticPr fontId="1"/>
  </si>
  <si>
    <t>受動&lt;知覚&gt;</t>
    <rPh sb="0" eb="2">
      <t>ジュドウ</t>
    </rPh>
    <rPh sb="3" eb="5">
      <t>チカク</t>
    </rPh>
    <phoneticPr fontId="1"/>
  </si>
  <si>
    <r>
      <t>感覚</t>
    </r>
    <r>
      <rPr>
        <b/>
        <sz val="16"/>
        <color rgb="FFFF0000"/>
        <rFont val="ＭＳ Ｐゴシック"/>
        <family val="3"/>
        <charset val="128"/>
        <scheme val="minor"/>
      </rPr>
      <t>（心衣含む）</t>
    </r>
    <rPh sb="0" eb="2">
      <t>カンカク</t>
    </rPh>
    <rPh sb="3" eb="4">
      <t>ココロ</t>
    </rPh>
    <rPh sb="4" eb="5">
      <t>コロモ</t>
    </rPh>
    <rPh sb="5" eb="6">
      <t>フク</t>
    </rPh>
    <phoneticPr fontId="1"/>
  </si>
  <si>
    <t>種族</t>
    <rPh sb="0" eb="2">
      <t>シュゾク</t>
    </rPh>
    <phoneticPr fontId="1"/>
  </si>
  <si>
    <t>ボーナス</t>
    <phoneticPr fontId="1"/>
  </si>
  <si>
    <t>習得済</t>
    <rPh sb="0" eb="2">
      <t>シュウトク</t>
    </rPh>
    <rPh sb="2" eb="3">
      <t>スミ</t>
    </rPh>
    <phoneticPr fontId="1"/>
  </si>
  <si>
    <t>状況限定ボーナス</t>
    <rPh sb="0" eb="2">
      <t>ジョウキョウ</t>
    </rPh>
    <rPh sb="2" eb="4">
      <t>ゲンテイ</t>
    </rPh>
    <phoneticPr fontId="1"/>
  </si>
  <si>
    <t>合計</t>
    <rPh sb="0" eb="2">
      <t>ゴウケイ</t>
    </rPh>
    <phoneticPr fontId="1"/>
  </si>
  <si>
    <t>アイテム</t>
    <phoneticPr fontId="1"/>
  </si>
  <si>
    <t>パワー</t>
    <phoneticPr fontId="1"/>
  </si>
  <si>
    <t>残り</t>
    <rPh sb="0" eb="1">
      <t>ノコ</t>
    </rPh>
    <phoneticPr fontId="1"/>
  </si>
  <si>
    <t>技能値</t>
    <phoneticPr fontId="1"/>
  </si>
  <si>
    <t>状況限定ボーナス　及び　　　特殊効果</t>
    <rPh sb="0" eb="2">
      <t>ジョウキョウ</t>
    </rPh>
    <rPh sb="2" eb="4">
      <t>ゲンテイ</t>
    </rPh>
    <rPh sb="9" eb="10">
      <t>オヨ</t>
    </rPh>
    <rPh sb="14" eb="16">
      <t>トクシュ</t>
    </rPh>
    <rPh sb="16" eb="18">
      <t>コウカ</t>
    </rPh>
    <phoneticPr fontId="1"/>
  </si>
  <si>
    <t>再Ｒ可能</t>
    <rPh sb="0" eb="1">
      <t>サイ</t>
    </rPh>
    <rPh sb="2" eb="4">
      <t>カノウ</t>
    </rPh>
    <phoneticPr fontId="1"/>
  </si>
  <si>
    <t>アクロバット・ブーツ使用時は＋１</t>
    <rPh sb="10" eb="13">
      <t>シヨウジ</t>
    </rPh>
    <phoneticPr fontId="1"/>
  </si>
  <si>
    <t>リュカオン</t>
    <phoneticPr fontId="1"/>
  </si>
  <si>
    <t>アーデントサージ</t>
    <phoneticPr fontId="1"/>
  </si>
  <si>
    <t>基本防御値</t>
    <rPh sb="0" eb="2">
      <t>キホン</t>
    </rPh>
    <rPh sb="2" eb="4">
      <t>ボウギョ</t>
    </rPh>
    <rPh sb="4" eb="5">
      <t>チ</t>
    </rPh>
    <phoneticPr fontId="1"/>
  </si>
  <si>
    <t>ボーナス</t>
    <phoneticPr fontId="1"/>
  </si>
  <si>
    <t>次Ｔ終了</t>
    <rPh sb="0" eb="1">
      <t>ジ</t>
    </rPh>
    <rPh sb="2" eb="4">
      <t>シュウリョウ</t>
    </rPh>
    <phoneticPr fontId="1"/>
  </si>
  <si>
    <t>ＡＣ</t>
    <phoneticPr fontId="1"/>
  </si>
  <si>
    <t>+1</t>
    <phoneticPr fontId="1"/>
  </si>
  <si>
    <t>+2</t>
    <phoneticPr fontId="1"/>
  </si>
  <si>
    <t>サンダリング･アーマー</t>
    <phoneticPr fontId="1"/>
  </si>
  <si>
    <t>明晰の心衣</t>
    <rPh sb="0" eb="2">
      <t>メイセキ</t>
    </rPh>
    <rPh sb="3" eb="4">
      <t>シン</t>
    </rPh>
    <rPh sb="4" eb="5">
      <t>イ</t>
    </rPh>
    <phoneticPr fontId="1"/>
  </si>
  <si>
    <t>パワーボーナス</t>
    <phoneticPr fontId="1"/>
  </si>
  <si>
    <t>ボーナス</t>
    <phoneticPr fontId="1"/>
  </si>
  <si>
    <t>ＡＣ</t>
    <phoneticPr fontId="1"/>
  </si>
  <si>
    <t>+1</t>
    <phoneticPr fontId="1"/>
  </si>
  <si>
    <t>タワー・オヴ・アイアン・ウィル</t>
    <phoneticPr fontId="1"/>
  </si>
  <si>
    <t>底力</t>
    <rPh sb="0" eb="1">
      <t>ソコ</t>
    </rPh>
    <rPh sb="1" eb="2">
      <t>チカラ</t>
    </rPh>
    <phoneticPr fontId="1"/>
  </si>
  <si>
    <t>警告の心衣</t>
    <rPh sb="0" eb="2">
      <t>ケイコク</t>
    </rPh>
    <rPh sb="3" eb="4">
      <t>ココロ</t>
    </rPh>
    <rPh sb="4" eb="5">
      <t>キヌ</t>
    </rPh>
    <phoneticPr fontId="1"/>
  </si>
  <si>
    <t>遭遇終了まで？</t>
    <rPh sb="0" eb="2">
      <t>ソウグウ</t>
    </rPh>
    <rPh sb="2" eb="4">
      <t>シュウリョウ</t>
    </rPh>
    <phoneticPr fontId="1"/>
  </si>
  <si>
    <t>次Ｔ開始</t>
    <rPh sb="0" eb="1">
      <t>ジ</t>
    </rPh>
    <rPh sb="2" eb="4">
      <t>カイシ</t>
    </rPh>
    <phoneticPr fontId="1"/>
  </si>
  <si>
    <t>シェリー重傷</t>
    <rPh sb="4" eb="6">
      <t>ジュウショウ</t>
    </rPh>
    <phoneticPr fontId="1"/>
  </si>
  <si>
    <t>+4</t>
    <phoneticPr fontId="1"/>
  </si>
  <si>
    <t>+4</t>
  </si>
  <si>
    <t>ゲイルフォース・インフュージョン</t>
    <phoneticPr fontId="1"/>
  </si>
  <si>
    <t>防御専念</t>
    <rPh sb="0" eb="2">
      <t>ボウギョ</t>
    </rPh>
    <rPh sb="2" eb="4">
      <t>センネン</t>
    </rPh>
    <phoneticPr fontId="1"/>
  </si>
  <si>
    <t>+3</t>
  </si>
  <si>
    <t>ディフェンス・サイフォン</t>
    <phoneticPr fontId="1"/>
  </si>
  <si>
    <t>×</t>
    <phoneticPr fontId="1"/>
  </si>
  <si>
    <r>
      <rPr>
        <b/>
        <sz val="18"/>
        <color theme="1"/>
        <rFont val="ＭＳ Ｐゴシック"/>
        <family val="3"/>
        <charset val="128"/>
        <scheme val="minor"/>
      </rPr>
      <t xml:space="preserve">いずれかの値に </t>
    </r>
    <r>
      <rPr>
        <b/>
        <sz val="24"/>
        <color theme="1"/>
        <rFont val="ＭＳ Ｐゴシック"/>
        <family val="3"/>
        <charset val="128"/>
        <scheme val="minor"/>
      </rPr>
      <t>+4</t>
    </r>
    <rPh sb="5" eb="6">
      <t>アタイ</t>
    </rPh>
    <phoneticPr fontId="1"/>
  </si>
  <si>
    <t>状態異常に困っても決して諦めないで</t>
    <rPh sb="0" eb="2">
      <t>ジョウタイ</t>
    </rPh>
    <rPh sb="2" eb="4">
      <t>イジョウ</t>
    </rPh>
    <rPh sb="5" eb="6">
      <t>コマ</t>
    </rPh>
    <rPh sb="9" eb="10">
      <t>ケッ</t>
    </rPh>
    <rPh sb="12" eb="13">
      <t>アキラ</t>
    </rPh>
    <phoneticPr fontId="1"/>
  </si>
  <si>
    <r>
      <t>・幻惑 or 朦朧　⇒　</t>
    </r>
    <r>
      <rPr>
        <b/>
        <sz val="11"/>
        <color rgb="FFFF0000"/>
        <rFont val="ＭＳ Ｐゴシック"/>
        <family val="3"/>
        <charset val="128"/>
        <scheme val="minor"/>
      </rPr>
      <t>無双の意志</t>
    </r>
    <rPh sb="1" eb="3">
      <t>ゲンワク</t>
    </rPh>
    <rPh sb="7" eb="9">
      <t>モウロウ</t>
    </rPh>
    <phoneticPr fontId="1"/>
  </si>
  <si>
    <t>　　ターン開始時に全くの例外なく絶対にセーヴ！</t>
    <rPh sb="5" eb="7">
      <t>カイシ</t>
    </rPh>
    <rPh sb="7" eb="8">
      <t>ジ</t>
    </rPh>
    <rPh sb="9" eb="10">
      <t>マッタ</t>
    </rPh>
    <rPh sb="12" eb="14">
      <t>レイガイ</t>
    </rPh>
    <rPh sb="16" eb="18">
      <t>ゼッタイ</t>
    </rPh>
    <phoneticPr fontId="1"/>
  </si>
  <si>
    <r>
      <t>・セーヴ終了効果全般　⇒　</t>
    </r>
    <r>
      <rPr>
        <b/>
        <sz val="11"/>
        <color rgb="FFFF0000"/>
        <rFont val="ＭＳ Ｐゴシック"/>
        <family val="3"/>
        <charset val="128"/>
        <scheme val="minor"/>
      </rPr>
      <t>命の水</t>
    </r>
    <rPh sb="4" eb="6">
      <t>シュウリョウ</t>
    </rPh>
    <rPh sb="6" eb="8">
      <t>コウカ</t>
    </rPh>
    <rPh sb="8" eb="10">
      <t>ゼンパン</t>
    </rPh>
    <rPh sb="13" eb="14">
      <t>イノチ</t>
    </rPh>
    <rPh sb="15" eb="16">
      <t>ミズ</t>
    </rPh>
    <phoneticPr fontId="1"/>
  </si>
  <si>
    <t>　　とりあえずＴ開始時に１回はセーヴ可能！</t>
    <rPh sb="8" eb="10">
      <t>カイシ</t>
    </rPh>
    <rPh sb="10" eb="11">
      <t>ジ</t>
    </rPh>
    <rPh sb="13" eb="14">
      <t>カイ</t>
    </rPh>
    <rPh sb="18" eb="20">
      <t>カノウ</t>
    </rPh>
    <phoneticPr fontId="1"/>
  </si>
  <si>
    <r>
      <t>・減速 　⇒　</t>
    </r>
    <r>
      <rPr>
        <b/>
        <sz val="11"/>
        <color rgb="FFFF0000"/>
        <rFont val="ＭＳ Ｐゴシック"/>
        <family val="3"/>
        <charset val="128"/>
        <scheme val="minor"/>
      </rPr>
      <t>プレシング・アタック</t>
    </r>
    <rPh sb="1" eb="3">
      <t>ゲンソク</t>
    </rPh>
    <phoneticPr fontId="1"/>
  </si>
  <si>
    <r>
      <t>・拘束 or 動けない状態　⇒　</t>
    </r>
    <r>
      <rPr>
        <b/>
        <sz val="11"/>
        <color rgb="FFFF0000"/>
        <rFont val="ＭＳ Ｐゴシック"/>
        <family val="3"/>
        <charset val="128"/>
        <scheme val="minor"/>
      </rPr>
      <t>サンダー・ステップ</t>
    </r>
    <rPh sb="1" eb="3">
      <t>コウソク</t>
    </rPh>
    <rPh sb="7" eb="8">
      <t>ウゴ</t>
    </rPh>
    <rPh sb="11" eb="13">
      <t>ジョウタイ</t>
    </rPh>
    <phoneticPr fontId="1"/>
  </si>
  <si>
    <t>　　５マスまで瞬間移動！</t>
    <rPh sb="7" eb="9">
      <t>シュンカン</t>
    </rPh>
    <rPh sb="9" eb="11">
      <t>イドウ</t>
    </rPh>
    <phoneticPr fontId="1"/>
  </si>
  <si>
    <r>
      <t>・支配　⇒　</t>
    </r>
    <r>
      <rPr>
        <b/>
        <sz val="11"/>
        <color rgb="FFFF0000"/>
        <rFont val="ＭＳ Ｐゴシック"/>
        <family val="3"/>
        <charset val="128"/>
        <scheme val="minor"/>
      </rPr>
      <t>自分では無理！</t>
    </r>
    <rPh sb="1" eb="3">
      <t>シハイ</t>
    </rPh>
    <rPh sb="6" eb="8">
      <t>ジブン</t>
    </rPh>
    <rPh sb="10" eb="12">
      <t>ムリ</t>
    </rPh>
    <phoneticPr fontId="1"/>
  </si>
  <si>
    <t>　　対処法は味方に丸投げ！　何とかなる？</t>
    <rPh sb="2" eb="5">
      <t>タイショホウ</t>
    </rPh>
    <rPh sb="6" eb="8">
      <t>ミカタ</t>
    </rPh>
    <rPh sb="9" eb="10">
      <t>マル</t>
    </rPh>
    <rPh sb="10" eb="11">
      <t>ナ</t>
    </rPh>
    <rPh sb="14" eb="15">
      <t>ナン</t>
    </rPh>
    <phoneticPr fontId="1"/>
  </si>
  <si>
    <t>※Boots of the Mighty Charge (Dr381:96)</t>
    <phoneticPr fontId="1"/>
  </si>
  <si>
    <r>
      <t>　　特性：</t>
    </r>
    <r>
      <rPr>
        <b/>
        <sz val="11"/>
        <color rgb="FFFF0000"/>
        <rFont val="ＭＳ Ｐゴシック"/>
        <family val="3"/>
        <charset val="128"/>
        <scheme val="minor"/>
      </rPr>
      <t>突撃</t>
    </r>
    <r>
      <rPr>
        <sz val="11"/>
        <color theme="1"/>
        <rFont val="ＭＳ Ｐゴシック"/>
        <family val="2"/>
        <charset val="128"/>
        <scheme val="minor"/>
      </rPr>
      <t>時、使用者は</t>
    </r>
    <r>
      <rPr>
        <b/>
        <sz val="11"/>
        <color rgb="FFFF0000"/>
        <rFont val="ＭＳ Ｐゴシック"/>
        <family val="3"/>
        <charset val="128"/>
        <scheme val="minor"/>
      </rPr>
      <t>移動速度に+2</t>
    </r>
    <r>
      <rPr>
        <sz val="11"/>
        <color theme="1"/>
        <rFont val="ＭＳ Ｐゴシック"/>
        <family val="2"/>
        <charset val="128"/>
        <scheme val="minor"/>
      </rPr>
      <t>のアイテムBを得る。</t>
    </r>
    <phoneticPr fontId="1"/>
  </si>
  <si>
    <t>　　　効果：使用者は突撃の終了後、その突撃で攻撃した敵を含む任意の[無]or[遭]の[武器]近接</t>
    <phoneticPr fontId="1"/>
  </si>
  <si>
    <t>　　　　　or近接範囲攻撃Powを使用できる(近接基礎攻撃や押しやりでもいい)。</t>
    <phoneticPr fontId="1"/>
  </si>
  <si>
    <t>※一か八かの長柄武器(PH202)</t>
    <rPh sb="1" eb="2">
      <t>イチ</t>
    </rPh>
    <rPh sb="3" eb="4">
      <t>バチ</t>
    </rPh>
    <rPh sb="6" eb="8">
      <t>ナガエ</t>
    </rPh>
    <rPh sb="8" eb="10">
      <t>ブキ</t>
    </rPh>
    <phoneticPr fontId="1"/>
  </si>
  <si>
    <r>
      <t>　　　それまで君に隣接していなかった</t>
    </r>
    <r>
      <rPr>
        <b/>
        <sz val="11"/>
        <color rgb="FFFF0000"/>
        <rFont val="ＭＳ Ｐゴシック"/>
        <family val="3"/>
        <charset val="128"/>
        <scheme val="minor"/>
      </rPr>
      <t>敵が君に隣接するマスに入ろうとした</t>
    </r>
    <r>
      <rPr>
        <sz val="11"/>
        <color theme="1"/>
        <rFont val="ＭＳ Ｐゴシック"/>
        <family val="2"/>
        <charset val="128"/>
        <scheme val="minor"/>
      </rPr>
      <t>際、</t>
    </r>
    <rPh sb="7" eb="8">
      <t>キミ</t>
    </rPh>
    <rPh sb="9" eb="11">
      <t>リンセツ</t>
    </rPh>
    <rPh sb="18" eb="19">
      <t>テキ</t>
    </rPh>
    <rPh sb="20" eb="21">
      <t>キミ</t>
    </rPh>
    <rPh sb="22" eb="24">
      <t>リンセツ</t>
    </rPh>
    <rPh sb="29" eb="30">
      <t>ハイ</t>
    </rPh>
    <rPh sb="35" eb="36">
      <t>サイ</t>
    </rPh>
    <phoneticPr fontId="1"/>
  </si>
  <si>
    <r>
      <t>　　　君はその敵に対して</t>
    </r>
    <r>
      <rPr>
        <b/>
        <sz val="11"/>
        <color rgb="FFFF0000"/>
        <rFont val="ＭＳ Ｐゴシック"/>
        <family val="3"/>
        <charset val="128"/>
        <scheme val="minor"/>
      </rPr>
      <t>長柄武器類で機会攻撃</t>
    </r>
    <r>
      <rPr>
        <sz val="11"/>
        <color theme="1"/>
        <rFont val="ＭＳ Ｐゴシック"/>
        <family val="2"/>
        <charset val="128"/>
        <scheme val="minor"/>
      </rPr>
      <t>を行う事ができるが、</t>
    </r>
    <rPh sb="3" eb="4">
      <t>キミ</t>
    </rPh>
    <rPh sb="7" eb="8">
      <t>テキ</t>
    </rPh>
    <rPh sb="9" eb="10">
      <t>タイ</t>
    </rPh>
    <rPh sb="12" eb="14">
      <t>ナガエ</t>
    </rPh>
    <rPh sb="14" eb="16">
      <t>ブキ</t>
    </rPh>
    <rPh sb="16" eb="17">
      <t>ルイ</t>
    </rPh>
    <rPh sb="18" eb="20">
      <t>キカイ</t>
    </rPh>
    <rPh sb="20" eb="22">
      <t>コウゲキ</t>
    </rPh>
    <rPh sb="23" eb="24">
      <t>オコナ</t>
    </rPh>
    <rPh sb="25" eb="26">
      <t>コト</t>
    </rPh>
    <phoneticPr fontId="1"/>
  </si>
  <si>
    <r>
      <t>　　　君はその敵のＴ終了時まで、</t>
    </r>
    <r>
      <rPr>
        <b/>
        <sz val="11"/>
        <color rgb="FFFF0000"/>
        <rFont val="ＭＳ Ｐゴシック"/>
        <family val="3"/>
        <charset val="128"/>
        <scheme val="minor"/>
      </rPr>
      <t>その敵に対して戦術的優位</t>
    </r>
    <r>
      <rPr>
        <sz val="11"/>
        <color theme="1"/>
        <rFont val="ＭＳ Ｐゴシック"/>
        <family val="2"/>
        <charset val="128"/>
        <scheme val="minor"/>
      </rPr>
      <t>を与えてしまう。</t>
    </r>
    <rPh sb="3" eb="4">
      <t>キミ</t>
    </rPh>
    <rPh sb="7" eb="8">
      <t>テキ</t>
    </rPh>
    <rPh sb="10" eb="12">
      <t>シュウリョウ</t>
    </rPh>
    <rPh sb="12" eb="13">
      <t>ジ</t>
    </rPh>
    <rPh sb="18" eb="19">
      <t>テキ</t>
    </rPh>
    <rPh sb="20" eb="21">
      <t>タイ</t>
    </rPh>
    <rPh sb="23" eb="26">
      <t>センジュツテキ</t>
    </rPh>
    <rPh sb="26" eb="28">
      <t>ユウイ</t>
    </rPh>
    <rPh sb="29" eb="30">
      <t>アタ</t>
    </rPh>
    <phoneticPr fontId="1"/>
  </si>
  <si>
    <t>※直感回避(PH205)</t>
    <rPh sb="1" eb="3">
      <t>チョッカン</t>
    </rPh>
    <rPh sb="3" eb="5">
      <t>カイヒ</t>
    </rPh>
    <phoneticPr fontId="1"/>
  </si>
  <si>
    <t>　　　敵はたとえ君に対して戦術的優位を得ていても、攻撃Ｒに本来与えられる＋２Ｂを得る事ができない。</t>
    <rPh sb="3" eb="4">
      <t>テキ</t>
    </rPh>
    <rPh sb="8" eb="9">
      <t>キミ</t>
    </rPh>
    <rPh sb="10" eb="11">
      <t>タイ</t>
    </rPh>
    <rPh sb="13" eb="16">
      <t>センジュツテキ</t>
    </rPh>
    <rPh sb="16" eb="18">
      <t>ユウイ</t>
    </rPh>
    <rPh sb="19" eb="20">
      <t>エ</t>
    </rPh>
    <rPh sb="25" eb="27">
      <t>コウゲキ</t>
    </rPh>
    <rPh sb="29" eb="31">
      <t>ホンライ</t>
    </rPh>
    <rPh sb="31" eb="32">
      <t>アタ</t>
    </rPh>
    <rPh sb="40" eb="41">
      <t>エ</t>
    </rPh>
    <rPh sb="42" eb="43">
      <t>コト</t>
    </rPh>
    <phoneticPr fontId="1"/>
  </si>
  <si>
    <t>　　　戦術的優位から得られるそれ以外の利益は通常通り適用される。</t>
    <rPh sb="3" eb="8">
      <t>センジュツテキユウイ</t>
    </rPh>
    <rPh sb="10" eb="11">
      <t>エ</t>
    </rPh>
    <rPh sb="16" eb="18">
      <t>イガイ</t>
    </rPh>
    <rPh sb="19" eb="21">
      <t>リエキ</t>
    </rPh>
    <rPh sb="22" eb="24">
      <t>ツウジョウ</t>
    </rPh>
    <rPh sb="24" eb="25">
      <t>ドオ</t>
    </rPh>
    <rPh sb="26" eb="28">
      <t>テキヨウ</t>
    </rPh>
    <phoneticPr fontId="1"/>
  </si>
  <si>
    <t>間合い武器＋軽装鎧＆ブーツのお陰で、かなり遠くにいる敵でも強襲＆マーク可能！</t>
    <rPh sb="0" eb="2">
      <t>マア</t>
    </rPh>
    <rPh sb="3" eb="5">
      <t>ブキ</t>
    </rPh>
    <rPh sb="6" eb="8">
      <t>ケイソウ</t>
    </rPh>
    <rPh sb="8" eb="9">
      <t>ヨロイ</t>
    </rPh>
    <rPh sb="15" eb="16">
      <t>カゲ</t>
    </rPh>
    <rPh sb="21" eb="22">
      <t>トオ</t>
    </rPh>
    <rPh sb="26" eb="27">
      <t>テキ</t>
    </rPh>
    <rPh sb="29" eb="30">
      <t>ツヨ</t>
    </rPh>
    <rPh sb="30" eb="31">
      <t>オソ</t>
    </rPh>
    <rPh sb="35" eb="37">
      <t>カノウ</t>
    </rPh>
    <phoneticPr fontId="1"/>
  </si>
  <si>
    <t>突撃から使わなくても、敵と全く隣接せずにマーク可能なのは融通が非常に効く。　恐ろしい・・・。</t>
    <rPh sb="0" eb="2">
      <t>トツゲキ</t>
    </rPh>
    <rPh sb="4" eb="5">
      <t>ツカ</t>
    </rPh>
    <rPh sb="11" eb="12">
      <t>テキ</t>
    </rPh>
    <rPh sb="13" eb="14">
      <t>マッタ</t>
    </rPh>
    <rPh sb="15" eb="17">
      <t>リンセツ</t>
    </rPh>
    <rPh sb="23" eb="25">
      <t>カノウ</t>
    </rPh>
    <rPh sb="28" eb="30">
      <t>ユウヅウ</t>
    </rPh>
    <rPh sb="31" eb="33">
      <t>ヒジョウ</t>
    </rPh>
    <rPh sb="34" eb="35">
      <t>キ</t>
    </rPh>
    <rPh sb="38" eb="39">
      <t>オソ</t>
    </rPh>
    <phoneticPr fontId="1"/>
  </si>
  <si>
    <t>④ＡＰから使う</t>
    <rPh sb="5" eb="6">
      <t>ツカ</t>
    </rPh>
    <phoneticPr fontId="1"/>
  </si>
  <si>
    <t>　　ダメージが高いので振り直し効果に期待したい。</t>
    <rPh sb="7" eb="8">
      <t>タカ</t>
    </rPh>
    <rPh sb="15" eb="17">
      <t>コウカ</t>
    </rPh>
    <phoneticPr fontId="1"/>
  </si>
  <si>
    <t>ミス</t>
    <phoneticPr fontId="1"/>
  </si>
  <si>
    <r>
      <t>加えて</t>
    </r>
    <r>
      <rPr>
        <b/>
        <sz val="11"/>
        <color rgb="FFFF0000"/>
        <rFont val="ＭＳ Ｐゴシック"/>
        <family val="3"/>
        <charset val="128"/>
        <scheme val="minor"/>
      </rPr>
      <t>使用者に近接攻撃をヒット</t>
    </r>
    <r>
      <rPr>
        <sz val="11"/>
        <rFont val="ＭＳ Ｐゴシック"/>
        <family val="3"/>
        <charset val="128"/>
        <scheme val="minor"/>
      </rPr>
      <t>させた敵は皆、使用者の</t>
    </r>
    <r>
      <rPr>
        <b/>
        <sz val="11"/>
        <color rgb="FFFF0000"/>
        <rFont val="ＭＳ Ｐゴシック"/>
        <family val="3"/>
        <charset val="128"/>
        <scheme val="minor"/>
      </rPr>
      <t>【筋】に等しいダメージ</t>
    </r>
    <r>
      <rPr>
        <sz val="11"/>
        <rFont val="ＭＳ Ｐゴシック"/>
        <family val="3"/>
        <charset val="128"/>
        <scheme val="minor"/>
      </rPr>
      <t>を受ける。</t>
    </r>
    <rPh sb="0" eb="1">
      <t>クワ</t>
    </rPh>
    <rPh sb="3" eb="6">
      <t>シヨウシャ</t>
    </rPh>
    <rPh sb="7" eb="9">
      <t>キンセツ</t>
    </rPh>
    <rPh sb="9" eb="11">
      <t>コウゲキ</t>
    </rPh>
    <rPh sb="18" eb="19">
      <t>テキ</t>
    </rPh>
    <rPh sb="20" eb="21">
      <t>ミナ</t>
    </rPh>
    <rPh sb="22" eb="24">
      <t>シヨウ</t>
    </rPh>
    <rPh sb="24" eb="25">
      <t>シャ</t>
    </rPh>
    <rPh sb="27" eb="28">
      <t>キン</t>
    </rPh>
    <rPh sb="30" eb="31">
      <t>ヒト</t>
    </rPh>
    <rPh sb="38" eb="39">
      <t>ウ</t>
    </rPh>
    <phoneticPr fontId="1"/>
  </si>
  <si>
    <r>
      <t>伸びた間合いに気を取られて、</t>
    </r>
    <r>
      <rPr>
        <b/>
        <sz val="11"/>
        <color rgb="FFFF0000"/>
        <rFont val="ＭＳ Ｐゴシック"/>
        <family val="3"/>
        <charset val="128"/>
        <scheme val="minor"/>
      </rPr>
      <t>確定ダメージの方を忘れがち</t>
    </r>
    <r>
      <rPr>
        <sz val="11"/>
        <rFont val="ＭＳ Ｐゴシック"/>
        <family val="3"/>
        <charset val="128"/>
        <scheme val="minor"/>
      </rPr>
      <t>なので要注意！</t>
    </r>
    <rPh sb="0" eb="1">
      <t>ノ</t>
    </rPh>
    <rPh sb="3" eb="5">
      <t>マア</t>
    </rPh>
    <rPh sb="7" eb="8">
      <t>キ</t>
    </rPh>
    <rPh sb="9" eb="10">
      <t>ト</t>
    </rPh>
    <rPh sb="14" eb="16">
      <t>カクテイ</t>
    </rPh>
    <rPh sb="21" eb="22">
      <t>ホウ</t>
    </rPh>
    <rPh sb="23" eb="24">
      <t>ワス</t>
    </rPh>
    <rPh sb="30" eb="33">
      <t>ヨウチュウイ</t>
    </rPh>
    <phoneticPr fontId="1"/>
  </si>
  <si>
    <t>③オテギヌの突撃ポイントを作る</t>
    <rPh sb="6" eb="8">
      <t>トツゲキ</t>
    </rPh>
    <rPh sb="13" eb="14">
      <t>ツク</t>
    </rPh>
    <phoneticPr fontId="1"/>
  </si>
  <si>
    <t>　幻惑中のオテギヌはポジション調整が苦手なので、位置調整をしてあげるのが吉かも。</t>
    <rPh sb="1" eb="3">
      <t>ゲンワク</t>
    </rPh>
    <rPh sb="3" eb="4">
      <t>チュウ</t>
    </rPh>
    <rPh sb="15" eb="17">
      <t>チョウセイ</t>
    </rPh>
    <rPh sb="18" eb="20">
      <t>ニガテ</t>
    </rPh>
    <rPh sb="24" eb="26">
      <t>イチ</t>
    </rPh>
    <rPh sb="26" eb="28">
      <t>チョウセイ</t>
    </rPh>
    <rPh sb="36" eb="37">
      <t>キチ</t>
    </rPh>
    <phoneticPr fontId="1"/>
  </si>
  <si>
    <t>　同様に密集陣形では、ただでは転ばぬポイントも作成可能か？</t>
    <rPh sb="1" eb="3">
      <t>ドウヨウ</t>
    </rPh>
    <rPh sb="4" eb="6">
      <t>ミッシュウ</t>
    </rPh>
    <rPh sb="6" eb="8">
      <t>ジンケイ</t>
    </rPh>
    <rPh sb="15" eb="16">
      <t>コロ</t>
    </rPh>
    <rPh sb="23" eb="25">
      <t>サクセイ</t>
    </rPh>
    <rPh sb="25" eb="27">
      <t>カノウ</t>
    </rPh>
    <phoneticPr fontId="1"/>
  </si>
  <si>
    <t>②確定ダメージを与える以外、全く効果は無し　（ついでにマークは可能）</t>
    <rPh sb="1" eb="3">
      <t>カクテイ</t>
    </rPh>
    <rPh sb="8" eb="9">
      <t>アタ</t>
    </rPh>
    <rPh sb="11" eb="13">
      <t>イガイ</t>
    </rPh>
    <rPh sb="14" eb="15">
      <t>マッタ</t>
    </rPh>
    <rPh sb="16" eb="18">
      <t>コウカ</t>
    </rPh>
    <rPh sb="19" eb="20">
      <t>ナ</t>
    </rPh>
    <rPh sb="31" eb="33">
      <t>カノウ</t>
    </rPh>
    <phoneticPr fontId="1"/>
  </si>
  <si>
    <t>心衣＋α</t>
    <rPh sb="0" eb="1">
      <t>ココロ</t>
    </rPh>
    <rPh sb="1" eb="2">
      <t>コロモ</t>
    </rPh>
    <phoneticPr fontId="1"/>
  </si>
  <si>
    <r>
      <t>イニシアチブ＆技能判定</t>
    </r>
    <r>
      <rPr>
        <b/>
        <sz val="16"/>
        <color rgb="FFFF0000"/>
        <rFont val="ＭＳ Ｐゴシック"/>
        <family val="3"/>
        <charset val="128"/>
        <scheme val="minor"/>
      </rPr>
      <t>（心衣＋α含む）</t>
    </r>
    <rPh sb="7" eb="9">
      <t>ギノウ</t>
    </rPh>
    <rPh sb="9" eb="11">
      <t>ハンテイ</t>
    </rPh>
    <rPh sb="12" eb="13">
      <t>ココロ</t>
    </rPh>
    <rPh sb="13" eb="14">
      <t>コロモ</t>
    </rPh>
    <rPh sb="16" eb="17">
      <t>フク</t>
    </rPh>
    <phoneticPr fontId="1"/>
  </si>
  <si>
    <t>判定名</t>
    <rPh sb="0" eb="2">
      <t>ハンテイ</t>
    </rPh>
    <rPh sb="2" eb="3">
      <t>メイ</t>
    </rPh>
    <phoneticPr fontId="1"/>
  </si>
  <si>
    <t>イニシアチブ</t>
  </si>
  <si>
    <t>　　①まずインペチュアス・ストライドで機会攻撃を誘発　⇒　とりあえずダメージ確定</t>
    <rPh sb="19" eb="23">
      <t>キカイコウゲキ</t>
    </rPh>
    <rPh sb="24" eb="26">
      <t>ユウハツ</t>
    </rPh>
    <rPh sb="38" eb="40">
      <t>カクテイ</t>
    </rPh>
    <phoneticPr fontId="1"/>
  </si>
  <si>
    <t>インペチュアス・ストライド</t>
    <phoneticPr fontId="1"/>
  </si>
  <si>
    <t>素手</t>
    <rPh sb="0" eb="2">
      <t>スデ</t>
    </rPh>
    <phoneticPr fontId="1"/>
  </si>
  <si>
    <t>AC</t>
    <phoneticPr fontId="1"/>
  </si>
  <si>
    <t>つかみ（対反応）</t>
    <rPh sb="4" eb="5">
      <t>タイ</t>
    </rPh>
    <rPh sb="5" eb="7">
      <t>ハンノウ</t>
    </rPh>
    <phoneticPr fontId="1"/>
  </si>
  <si>
    <t>[無限回]</t>
    <rPh sb="1" eb="3">
      <t>ムゲン</t>
    </rPh>
    <rPh sb="3" eb="4">
      <t>カイ</t>
    </rPh>
    <phoneticPr fontId="1"/>
  </si>
  <si>
    <t>使用者は片手が空いていなければならない。</t>
    <phoneticPr fontId="1"/>
  </si>
  <si>
    <t>維持・マイナー</t>
    <phoneticPr fontId="1"/>
  </si>
  <si>
    <t>つかんだ目標を移動させる</t>
    <phoneticPr fontId="1"/>
  </si>
  <si>
    <t>※《素早き野生の血》(PHⅡ191)</t>
    <rPh sb="2" eb="4">
      <t>スバヤ</t>
    </rPh>
    <rPh sb="5" eb="7">
      <t>ヤセイ</t>
    </rPh>
    <rPh sb="8" eb="9">
      <t>チ</t>
    </rPh>
    <phoneticPr fontId="1"/>
  </si>
  <si>
    <t>　　　君がマークしている敵が、君を目標に含まない攻撃を行ったなら、君は１回のFAとして自分の</t>
    <rPh sb="3" eb="4">
      <t>キミ</t>
    </rPh>
    <rPh sb="12" eb="13">
      <t>テキ</t>
    </rPh>
    <rPh sb="15" eb="16">
      <t>キミ</t>
    </rPh>
    <rPh sb="17" eb="19">
      <t>モクヒョウ</t>
    </rPh>
    <rPh sb="20" eb="21">
      <t>フク</t>
    </rPh>
    <rPh sb="24" eb="26">
      <t>コウゲキ</t>
    </rPh>
    <rPh sb="27" eb="28">
      <t>オコナ</t>
    </rPh>
    <rPh sb="33" eb="34">
      <t>キミ</t>
    </rPh>
    <rPh sb="36" eb="37">
      <t>カイ</t>
    </rPh>
    <rPh sb="43" eb="45">
      <t>ジブン</t>
    </rPh>
    <phoneticPr fontId="1"/>
  </si>
  <si>
    <t>　　　【判】に等しいマスのシフトを行う事ができる。</t>
    <rPh sb="4" eb="5">
      <t>ハン</t>
    </rPh>
    <rPh sb="7" eb="8">
      <t>ヒト</t>
    </rPh>
    <rPh sb="17" eb="18">
      <t>オコ</t>
    </rPh>
    <rPh sb="19" eb="20">
      <t>コト</t>
    </rPh>
    <phoneticPr fontId="1"/>
  </si>
  <si>
    <t>パワーボーナス</t>
    <phoneticPr fontId="1"/>
  </si>
  <si>
    <r>
      <t>(１[Ｗ]＋【筋】)</t>
    </r>
    <r>
      <rPr>
        <sz val="11"/>
        <rFont val="ＭＳ Ｐゴシック"/>
        <family val="3"/>
        <charset val="128"/>
        <scheme val="minor"/>
      </rPr>
      <t>ダメージ</t>
    </r>
    <phoneticPr fontId="1"/>
  </si>
  <si>
    <t>（インチキ）重傷中の再生、忘れがちなので要注意！</t>
    <rPh sb="6" eb="8">
      <t>ジュウショウ</t>
    </rPh>
    <rPh sb="8" eb="9">
      <t>チュウ</t>
    </rPh>
    <rPh sb="10" eb="12">
      <t>サイセイ</t>
    </rPh>
    <rPh sb="13" eb="14">
      <t>ワス</t>
    </rPh>
    <rPh sb="20" eb="23">
      <t>ヨウチュウイ</t>
    </rPh>
    <phoneticPr fontId="1"/>
  </si>
  <si>
    <t>④マーク先から１１マス離れていても実は発動可能</t>
    <rPh sb="4" eb="5">
      <t>サキ</t>
    </rPh>
    <rPh sb="11" eb="12">
      <t>ハナ</t>
    </rPh>
    <rPh sb="17" eb="18">
      <t>ジツ</t>
    </rPh>
    <rPh sb="19" eb="21">
      <t>ハツドウ</t>
    </rPh>
    <rPh sb="21" eb="23">
      <t>カノウ</t>
    </rPh>
    <phoneticPr fontId="1"/>
  </si>
  <si>
    <t>　即応割込と同じタイミングで素早き野生の血のシフトで敵に接近すれば、</t>
    <rPh sb="1" eb="3">
      <t>ソクオウ</t>
    </rPh>
    <rPh sb="3" eb="4">
      <t>ワ</t>
    </rPh>
    <rPh sb="4" eb="5">
      <t>コ</t>
    </rPh>
    <rPh sb="6" eb="7">
      <t>オナ</t>
    </rPh>
    <rPh sb="26" eb="27">
      <t>テキ</t>
    </rPh>
    <rPh sb="28" eb="30">
      <t>セッキン</t>
    </rPh>
    <phoneticPr fontId="1"/>
  </si>
  <si>
    <t>　即応対応のタイミングでは敵の５マス以内にスタンバイする事が可能！</t>
    <rPh sb="1" eb="3">
      <t>ソクオウ</t>
    </rPh>
    <rPh sb="3" eb="5">
      <t>タイオウ</t>
    </rPh>
    <rPh sb="13" eb="14">
      <t>テキ</t>
    </rPh>
    <rPh sb="18" eb="20">
      <t>イナイ</t>
    </rPh>
    <rPh sb="28" eb="29">
      <t>コト</t>
    </rPh>
    <rPh sb="30" eb="32">
      <t>カノウ</t>
    </rPh>
    <phoneticPr fontId="1"/>
  </si>
  <si>
    <t>　っかし、１ラウンド中に何度でも素早き野生の血のシフトは可能なのだから凄い・・・。</t>
    <rPh sb="10" eb="11">
      <t>チュウ</t>
    </rPh>
    <rPh sb="12" eb="14">
      <t>ナンド</t>
    </rPh>
    <rPh sb="28" eb="30">
      <t>カノウ</t>
    </rPh>
    <rPh sb="35" eb="36">
      <t>スゴ</t>
    </rPh>
    <phoneticPr fontId="1"/>
  </si>
  <si>
    <t>　まァ、あまり意味の無いテクニックではあるのだが、一応。</t>
    <rPh sb="7" eb="9">
      <t>イミ</t>
    </rPh>
    <rPh sb="10" eb="11">
      <t>ナ</t>
    </rPh>
    <rPh sb="25" eb="27">
      <t>イチオウ</t>
    </rPh>
    <phoneticPr fontId="1"/>
  </si>
  <si>
    <r>
      <t>特にマーク先を</t>
    </r>
    <r>
      <rPr>
        <b/>
        <sz val="11"/>
        <color rgb="FFFF0000"/>
        <rFont val="ＭＳ Ｐゴシック"/>
        <family val="3"/>
        <charset val="128"/>
        <scheme val="minor"/>
      </rPr>
      <t>９マス以内にキープ</t>
    </r>
    <r>
      <rPr>
        <sz val="11"/>
        <rFont val="ＭＳ Ｐゴシック"/>
        <family val="3"/>
        <charset val="128"/>
        <scheme val="minor"/>
      </rPr>
      <t>していれば無限回で発動可能になるので、</t>
    </r>
    <rPh sb="0" eb="1">
      <t>トク</t>
    </rPh>
    <rPh sb="5" eb="6">
      <t>サキ</t>
    </rPh>
    <rPh sb="10" eb="12">
      <t>イナイ</t>
    </rPh>
    <rPh sb="25" eb="27">
      <t>ハツドウ</t>
    </rPh>
    <rPh sb="27" eb="29">
      <t>カノウ</t>
    </rPh>
    <phoneticPr fontId="1"/>
  </si>
  <si>
    <t>変身のオマケの即応は、ＲＪがマークしている敵に対して狙うのが吉か？</t>
    <rPh sb="0" eb="2">
      <t>ヘンシン</t>
    </rPh>
    <rPh sb="7" eb="9">
      <t>ソクオウ</t>
    </rPh>
    <rPh sb="21" eb="22">
      <t>テキ</t>
    </rPh>
    <rPh sb="23" eb="24">
      <t>タイ</t>
    </rPh>
    <rPh sb="26" eb="27">
      <t>ネラ</t>
    </rPh>
    <rPh sb="30" eb="31">
      <t>キチ</t>
    </rPh>
    <phoneticPr fontId="1"/>
  </si>
  <si>
    <t>辻マークを重視した立ち回りが重要となる。</t>
    <rPh sb="0" eb="1">
      <t>ツジ</t>
    </rPh>
    <rPh sb="5" eb="7">
      <t>ジュウシ</t>
    </rPh>
    <rPh sb="9" eb="10">
      <t>タ</t>
    </rPh>
    <rPh sb="11" eb="12">
      <t>マワ</t>
    </rPh>
    <rPh sb="14" eb="16">
      <t>ジュウヨウ</t>
    </rPh>
    <phoneticPr fontId="1"/>
  </si>
  <si>
    <t>今後は素早き野生の血のシフトを有効活用する為にも、突撃も駆使して</t>
    <rPh sb="15" eb="17">
      <t>ユウコウ</t>
    </rPh>
    <rPh sb="17" eb="19">
      <t>カツヨウ</t>
    </rPh>
    <rPh sb="21" eb="22">
      <t>タメ</t>
    </rPh>
    <rPh sb="28" eb="30">
      <t>クシ</t>
    </rPh>
    <phoneticPr fontId="1"/>
  </si>
  <si>
    <t>マーク先から器用に離れつつ、ガンガン戦場を駆けまわれ！</t>
    <rPh sb="3" eb="4">
      <t>サキ</t>
    </rPh>
    <rPh sb="6" eb="8">
      <t>キヨウ</t>
    </rPh>
    <rPh sb="9" eb="10">
      <t>ハナ</t>
    </rPh>
    <rPh sb="18" eb="20">
      <t>センジョウ</t>
    </rPh>
    <rPh sb="21" eb="22">
      <t>カ</t>
    </rPh>
    <phoneticPr fontId="1"/>
  </si>
  <si>
    <t>イーライＡＰ</t>
    <phoneticPr fontId="1"/>
  </si>
  <si>
    <t>[素手]で行う主な攻撃　</t>
    <rPh sb="5" eb="6">
      <t>オコナ</t>
    </rPh>
    <rPh sb="7" eb="8">
      <t>オモ</t>
    </rPh>
    <rPh sb="9" eb="11">
      <t>コウゲキ</t>
    </rPh>
    <phoneticPr fontId="1"/>
  </si>
  <si>
    <t>突撃突き飛ばし（対頑健）</t>
    <rPh sb="0" eb="2">
      <t>トツゲキ</t>
    </rPh>
    <rPh sb="2" eb="3">
      <t>ツ</t>
    </rPh>
    <rPh sb="4" eb="5">
      <t>ト</t>
    </rPh>
    <rPh sb="9" eb="11">
      <t>ガンケン</t>
    </rPh>
    <phoneticPr fontId="1"/>
  </si>
  <si>
    <t>突き飛ばし（対頑健）</t>
    <rPh sb="0" eb="1">
      <t>ツ</t>
    </rPh>
    <rPh sb="2" eb="3">
      <t>ト</t>
    </rPh>
    <rPh sb="6" eb="7">
      <t>タイ</t>
    </rPh>
    <rPh sb="7" eb="9">
      <t>ガンケン</t>
    </rPh>
    <phoneticPr fontId="1"/>
  </si>
  <si>
    <t>つかむ</t>
    <phoneticPr fontId="1"/>
  </si>
  <si>
    <t>突き飛ばし</t>
    <rPh sb="0" eb="1">
      <t>ツ</t>
    </rPh>
    <rPh sb="2" eb="3">
      <t>ト</t>
    </rPh>
    <phoneticPr fontId="1"/>
  </si>
  <si>
    <t>アクション</t>
    <phoneticPr fontId="1"/>
  </si>
  <si>
    <t>近接</t>
  </si>
  <si>
    <t>ヒット</t>
    <phoneticPr fontId="1"/>
  </si>
  <si>
    <t>使用者は目標を１マス押しやり、</t>
    <rPh sb="10" eb="11">
      <t>オ</t>
    </rPh>
    <phoneticPr fontId="1"/>
  </si>
  <si>
    <t>目標が空けた場所に入るように１マスのシフトを行なう。</t>
    <rPh sb="0" eb="2">
      <t>モクヒョウ</t>
    </rPh>
    <rPh sb="3" eb="4">
      <t>ア</t>
    </rPh>
    <rPh sb="6" eb="8">
      <t>バショ</t>
    </rPh>
    <rPh sb="9" eb="10">
      <t>ハイ</t>
    </rPh>
    <rPh sb="22" eb="23">
      <t>オコ</t>
    </rPh>
    <phoneticPr fontId="1"/>
  </si>
  <si>
    <t>使用者よりも１段階大きいサイズか、使用者以下のサイズであるクリーチャー１体</t>
    <rPh sb="0" eb="3">
      <t>シヨウシャ</t>
    </rPh>
    <rPh sb="7" eb="9">
      <t>ダンカイ</t>
    </rPh>
    <rPh sb="9" eb="10">
      <t>オオ</t>
    </rPh>
    <rPh sb="17" eb="20">
      <t>シヨウシャ</t>
    </rPh>
    <rPh sb="20" eb="22">
      <t>イカ</t>
    </rPh>
    <rPh sb="36" eb="37">
      <t>タイ</t>
    </rPh>
    <phoneticPr fontId="1"/>
  </si>
  <si>
    <t>使用者は次の自分のターンの終了時まで目標をつかむ。</t>
    <phoneticPr fontId="1"/>
  </si>
  <si>
    <t>使用者はフリー・アクションでこのつかみを終了させることができる。</t>
    <phoneticPr fontId="1"/>
  </si>
  <si>
    <t>このつかみは使用者の次のターンの終了時まで持続する。</t>
    <phoneticPr fontId="1"/>
  </si>
  <si>
    <r>
      <t>目標をつかむのに</t>
    </r>
    <r>
      <rPr>
        <b/>
        <sz val="11"/>
        <color rgb="FFFF0000"/>
        <rFont val="ＭＳ Ｐゴシック"/>
        <family val="3"/>
        <charset val="128"/>
        <scheme val="minor"/>
      </rPr>
      <t>つかむパワー</t>
    </r>
    <r>
      <rPr>
        <sz val="11"/>
        <color theme="1"/>
        <rFont val="ＭＳ Ｐゴシック"/>
        <family val="3"/>
        <charset val="128"/>
        <scheme val="minor"/>
      </rPr>
      <t>を使用したかどうかに関係なく、</t>
    </r>
    <rPh sb="0" eb="2">
      <t>モクヒョウ</t>
    </rPh>
    <phoneticPr fontId="1"/>
  </si>
  <si>
    <t>クリーチャーは自分がつかんでいる目標を移動させようと試みることができる。</t>
    <phoneticPr fontId="1"/>
  </si>
  <si>
    <t>つかんだ目標を移動させる</t>
    <phoneticPr fontId="1"/>
  </si>
  <si>
    <t>　アクション：標準アクション</t>
    <phoneticPr fontId="1"/>
  </si>
  <si>
    <t>　【筋力】判定；このクリーチャーは自分がつかんでいる目標1体の"頑健"に対して</t>
    <phoneticPr fontId="1"/>
  </si>
  <si>
    <t>　　【筋力】判定を行なう。目標がこのクリーチャーの味方であり、かつ無防備状態であるなら、</t>
    <phoneticPr fontId="1"/>
  </si>
  <si>
    <t>　　この判定は自動的に成功する。</t>
    <phoneticPr fontId="1"/>
  </si>
  <si>
    <t>　成功：このクリーチャーは移動速度の半分までの移動を行ないつつ、目標を引き寄せるこ</t>
    <phoneticPr fontId="1"/>
  </si>
  <si>
    <t>　　とができる。この時のこのクリーチャーの移動が、つかんでいる目標からの機会攻撃を誘</t>
    <phoneticPr fontId="1"/>
  </si>
  <si>
    <t>　　発することはないが、それ以外の機会攻撃は通常通り誘発する。</t>
    <phoneticPr fontId="1"/>
  </si>
  <si>
    <t>ガーディアンズ・パウンス</t>
    <phoneticPr fontId="1"/>
  </si>
  <si>
    <t>フォーム・オヴ・ジ・アヴァランチ・アンリーシュト</t>
    <phoneticPr fontId="1"/>
  </si>
  <si>
    <t>ウォーデン／攻撃／１５　（原始19）</t>
    <rPh sb="13" eb="15">
      <t>ゲンシ</t>
    </rPh>
    <phoneticPr fontId="1"/>
  </si>
  <si>
    <t>使用者はこの遭遇の終了時まで”解き放たれし雪崩”の守護者形態をとる。</t>
    <rPh sb="0" eb="2">
      <t>シヨウ</t>
    </rPh>
    <rPh sb="2" eb="3">
      <t>シャ</t>
    </rPh>
    <rPh sb="6" eb="8">
      <t>ソウグウ</t>
    </rPh>
    <rPh sb="9" eb="12">
      <t>シュウリョウジ</t>
    </rPh>
    <rPh sb="15" eb="16">
      <t>ト</t>
    </rPh>
    <rPh sb="17" eb="18">
      <t>ハナ</t>
    </rPh>
    <rPh sb="21" eb="23">
      <t>ナダレ</t>
    </rPh>
    <rPh sb="25" eb="28">
      <t>シュゴシャ</t>
    </rPh>
    <rPh sb="28" eb="30">
      <t>ケイタイ</t>
    </rPh>
    <phoneticPr fontId="1"/>
  </si>
  <si>
    <r>
      <t>使用者はこの形態にある間、</t>
    </r>
    <r>
      <rPr>
        <b/>
        <sz val="11"/>
        <color rgb="FFFF0000"/>
        <rFont val="ＭＳ Ｐゴシック"/>
        <family val="3"/>
        <charset val="128"/>
        <scheme val="minor"/>
      </rPr>
      <t>[全]抵抗5</t>
    </r>
    <r>
      <rPr>
        <sz val="11"/>
        <rFont val="ＭＳ Ｐゴシック"/>
        <family val="3"/>
        <charset val="128"/>
        <scheme val="minor"/>
      </rPr>
      <t>を得る。</t>
    </r>
    <rPh sb="0" eb="2">
      <t>シヨウ</t>
    </rPh>
    <rPh sb="2" eb="3">
      <t>シャ</t>
    </rPh>
    <rPh sb="6" eb="8">
      <t>ケイタイ</t>
    </rPh>
    <rPh sb="11" eb="12">
      <t>アイダ</t>
    </rPh>
    <rPh sb="14" eb="15">
      <t>ゼン</t>
    </rPh>
    <rPh sb="16" eb="18">
      <t>テイコウ</t>
    </rPh>
    <rPh sb="20" eb="21">
      <t>エ</t>
    </rPh>
    <phoneticPr fontId="1"/>
  </si>
  <si>
    <t>加えて使用者から2マス以内で自身のTを開始した全ての敵は、</t>
    <rPh sb="0" eb="1">
      <t>クワ</t>
    </rPh>
    <rPh sb="3" eb="6">
      <t>シヨウシャ</t>
    </rPh>
    <rPh sb="11" eb="13">
      <t>イナイ</t>
    </rPh>
    <rPh sb="14" eb="16">
      <t>ジシン</t>
    </rPh>
    <rPh sb="19" eb="21">
      <t>カイシ</t>
    </rPh>
    <rPh sb="23" eb="24">
      <t>スベ</t>
    </rPh>
    <rPh sb="26" eb="27">
      <t>テキ</t>
    </rPh>
    <phoneticPr fontId="1"/>
  </si>
  <si>
    <r>
      <t>その</t>
    </r>
    <r>
      <rPr>
        <b/>
        <sz val="11"/>
        <color rgb="FFFF0000"/>
        <rFont val="ＭＳ Ｐゴシック"/>
        <family val="3"/>
        <charset val="128"/>
        <scheme val="minor"/>
      </rPr>
      <t>敵の次T開始時まで『減速』</t>
    </r>
    <r>
      <rPr>
        <sz val="11"/>
        <rFont val="ＭＳ Ｐゴシック"/>
        <family val="3"/>
        <charset val="128"/>
        <scheme val="minor"/>
      </rPr>
      <t>となる。</t>
    </r>
    <rPh sb="2" eb="3">
      <t>テキ</t>
    </rPh>
    <rPh sb="4" eb="5">
      <t>ジ</t>
    </rPh>
    <rPh sb="6" eb="8">
      <t>カイシ</t>
    </rPh>
    <rPh sb="8" eb="9">
      <t>ジ</t>
    </rPh>
    <rPh sb="12" eb="14">
      <t>ゲンソク</t>
    </rPh>
    <phoneticPr fontId="1"/>
  </si>
  <si>
    <t>クリ―チャ―１体</t>
    <rPh sb="7" eb="8">
      <t>タイ</t>
    </rPh>
    <phoneticPr fontId="1"/>
  </si>
  <si>
    <t>【筋】対"AC"</t>
    <rPh sb="3" eb="4">
      <t>タイ</t>
    </rPh>
    <phoneticPr fontId="1"/>
  </si>
  <si>
    <r>
      <rPr>
        <b/>
        <sz val="11"/>
        <color rgb="FFFF0000"/>
        <rFont val="ＭＳ Ｐゴシック"/>
        <family val="3"/>
        <charset val="128"/>
        <scheme val="minor"/>
      </rPr>
      <t>伏せ・朦朧</t>
    </r>
    <r>
      <rPr>
        <sz val="11"/>
        <rFont val="ＭＳ Ｐゴシック"/>
        <family val="3"/>
        <charset val="128"/>
        <scheme val="minor"/>
      </rPr>
      <t>（セーヴ・終了）。</t>
    </r>
    <rPh sb="0" eb="1">
      <t>フ</t>
    </rPh>
    <rPh sb="3" eb="5">
      <t>モウロウ</t>
    </rPh>
    <rPh sb="10" eb="12">
      <t>シュウリョウ</t>
    </rPh>
    <phoneticPr fontId="1"/>
  </si>
  <si>
    <r>
      <t>半減ダメージ　</t>
    </r>
    <r>
      <rPr>
        <b/>
        <sz val="11"/>
        <color rgb="FFFF0000"/>
        <rFont val="ＭＳ Ｐゴシック"/>
        <family val="3"/>
        <charset val="128"/>
        <scheme val="minor"/>
      </rPr>
      <t>幻惑</t>
    </r>
    <r>
      <rPr>
        <sz val="11"/>
        <rFont val="ＭＳ Ｐゴシック"/>
        <family val="3"/>
        <charset val="128"/>
        <scheme val="minor"/>
      </rPr>
      <t>（セーヴ・終了）。</t>
    </r>
    <rPh sb="0" eb="2">
      <t>ハンゲン</t>
    </rPh>
    <rPh sb="7" eb="9">
      <t>ゲンワク</t>
    </rPh>
    <phoneticPr fontId="1"/>
  </si>
  <si>
    <t>エンター・ザ・クルーシブル</t>
    <phoneticPr fontId="1"/>
  </si>
  <si>
    <t>①エンター・ザ・クルーシブルの予備</t>
    <rPh sb="15" eb="17">
      <t>ヨビ</t>
    </rPh>
    <phoneticPr fontId="1"/>
  </si>
  <si>
    <t>　　全てのダメージに対する抵抗は非常に汎用性が高い！</t>
    <rPh sb="2" eb="3">
      <t>スベ</t>
    </rPh>
    <rPh sb="10" eb="11">
      <t>タイ</t>
    </rPh>
    <rPh sb="13" eb="15">
      <t>テイコウ</t>
    </rPh>
    <rPh sb="16" eb="18">
      <t>ヒジョウ</t>
    </rPh>
    <rPh sb="19" eb="22">
      <t>ハンヨウセイ</t>
    </rPh>
    <rPh sb="23" eb="24">
      <t>タカ</t>
    </rPh>
    <phoneticPr fontId="1"/>
  </si>
  <si>
    <t>サンダー・ステップ</t>
    <phoneticPr fontId="1"/>
  </si>
  <si>
    <t>②サンダー・ステップの予備</t>
    <rPh sb="11" eb="13">
      <t>ヨビ</t>
    </rPh>
    <phoneticPr fontId="1"/>
  </si>
  <si>
    <t>　　瞬間移動が付いていないのは残念だが、</t>
    <rPh sb="2" eb="6">
      <t>シュンカン</t>
    </rPh>
    <rPh sb="7" eb="8">
      <t>ツ</t>
    </rPh>
    <rPh sb="15" eb="17">
      <t>ザンネン</t>
    </rPh>
    <phoneticPr fontId="1"/>
  </si>
  <si>
    <t>　　本家サンダー・ステップの方も確定幻惑だけを目的に使う事があるからには</t>
    <rPh sb="2" eb="4">
      <t>ホンケ</t>
    </rPh>
    <rPh sb="14" eb="15">
      <t>ホウ</t>
    </rPh>
    <rPh sb="16" eb="18">
      <t>カクテイ</t>
    </rPh>
    <rPh sb="18" eb="20">
      <t>ゲンワク</t>
    </rPh>
    <rPh sb="23" eb="25">
      <t>モクテキ</t>
    </rPh>
    <rPh sb="26" eb="27">
      <t>ツカ</t>
    </rPh>
    <rPh sb="28" eb="29">
      <t>コト</t>
    </rPh>
    <phoneticPr fontId="1"/>
  </si>
  <si>
    <t>　　数値が５に下がってしまっているが、代用品としては充分に機能するハズ。</t>
    <rPh sb="2" eb="4">
      <t>スウチ</t>
    </rPh>
    <rPh sb="7" eb="8">
      <t>サ</t>
    </rPh>
    <rPh sb="19" eb="22">
      <t>ダイヨウヒン</t>
    </rPh>
    <rPh sb="26" eb="28">
      <t>ジュウブン</t>
    </rPh>
    <rPh sb="29" eb="31">
      <t>キノウ</t>
    </rPh>
    <phoneticPr fontId="1"/>
  </si>
  <si>
    <t>　　ただの時間稼ぎにも、集中攻撃にも使い易そう。</t>
    <rPh sb="5" eb="7">
      <t>ジカン</t>
    </rPh>
    <rPh sb="7" eb="8">
      <t>カセ</t>
    </rPh>
    <rPh sb="12" eb="14">
      <t>シュウチュウ</t>
    </rPh>
    <rPh sb="14" eb="16">
      <t>コウゲキ</t>
    </rPh>
    <rPh sb="18" eb="19">
      <t>ツカ</t>
    </rPh>
    <rPh sb="20" eb="21">
      <t>ヤス</t>
    </rPh>
    <phoneticPr fontId="1"/>
  </si>
  <si>
    <t>　　本家エンター・ザ・クルーシブルの活躍っぷりからも解るように、</t>
    <rPh sb="2" eb="4">
      <t>ホンケ</t>
    </rPh>
    <rPh sb="18" eb="20">
      <t>カツヤク</t>
    </rPh>
    <rPh sb="26" eb="27">
      <t>ワカ</t>
    </rPh>
    <phoneticPr fontId="1"/>
  </si>
  <si>
    <t>　　確定減速効果もあって、変身後は近接主体の敵からは狙われ易くなる事が予想されるが、</t>
    <rPh sb="2" eb="4">
      <t>カクテイ</t>
    </rPh>
    <rPh sb="4" eb="6">
      <t>ゲンソク</t>
    </rPh>
    <rPh sb="6" eb="8">
      <t>コウカ</t>
    </rPh>
    <rPh sb="13" eb="15">
      <t>ヘンシン</t>
    </rPh>
    <rPh sb="15" eb="16">
      <t>ゴ</t>
    </rPh>
    <rPh sb="17" eb="19">
      <t>キンセツ</t>
    </rPh>
    <rPh sb="19" eb="21">
      <t>シュタイ</t>
    </rPh>
    <rPh sb="22" eb="23">
      <t>テキ</t>
    </rPh>
    <rPh sb="26" eb="27">
      <t>ネラ</t>
    </rPh>
    <rPh sb="29" eb="30">
      <t>ヤス</t>
    </rPh>
    <rPh sb="33" eb="34">
      <t>コト</t>
    </rPh>
    <rPh sb="35" eb="37">
      <t>ヨソウ</t>
    </rPh>
    <phoneticPr fontId="1"/>
  </si>
  <si>
    <t>　　その為の全ダメージ抵抗とも言えるので問題は無さそう。</t>
    <rPh sb="4" eb="5">
      <t>タメ</t>
    </rPh>
    <rPh sb="6" eb="7">
      <t>ゼン</t>
    </rPh>
    <rPh sb="11" eb="13">
      <t>テイコウ</t>
    </rPh>
    <rPh sb="15" eb="16">
      <t>イ</t>
    </rPh>
    <rPh sb="20" eb="22">
      <t>モンダイ</t>
    </rPh>
    <rPh sb="23" eb="24">
      <t>ナ</t>
    </rPh>
    <phoneticPr fontId="1"/>
  </si>
  <si>
    <t>　　ヒット時には幻惑よりも上の朦朧であるコッチの方も当然、使い勝手が良いハズ。</t>
    <rPh sb="5" eb="6">
      <t>ジ</t>
    </rPh>
    <rPh sb="8" eb="10">
      <t>ゲンワク</t>
    </rPh>
    <rPh sb="13" eb="14">
      <t>ウエ</t>
    </rPh>
    <rPh sb="15" eb="17">
      <t>モウロウ</t>
    </rPh>
    <rPh sb="24" eb="25">
      <t>ホウ</t>
    </rPh>
    <rPh sb="26" eb="28">
      <t>トウゼン</t>
    </rPh>
    <rPh sb="29" eb="30">
      <t>ツカ</t>
    </rPh>
    <rPh sb="31" eb="33">
      <t>カッテ</t>
    </rPh>
    <rPh sb="34" eb="35">
      <t>ヨ</t>
    </rPh>
    <phoneticPr fontId="1"/>
  </si>
  <si>
    <t>②確定で幻惑！　（RJがインテレクト・スナップをミスった時にも有効）</t>
    <rPh sb="1" eb="3">
      <t>カクテイ</t>
    </rPh>
    <rPh sb="4" eb="6">
      <t>ゲンワク</t>
    </rPh>
    <rPh sb="28" eb="29">
      <t>トキ</t>
    </rPh>
    <rPh sb="31" eb="33">
      <t>ユウコウ</t>
    </rPh>
    <phoneticPr fontId="1"/>
  </si>
  <si>
    <t>アンキャニィ･インスティンクツ</t>
    <phoneticPr fontId="1"/>
  </si>
  <si>
    <t>知覚／汎用／１０　（PHⅢ172）</t>
    <rPh sb="0" eb="2">
      <t>チカク</t>
    </rPh>
    <rPh sb="3" eb="5">
      <t>ハンヨウ</t>
    </rPh>
    <phoneticPr fontId="1"/>
  </si>
  <si>
    <t>フリー・アクション</t>
    <phoneticPr fontId="1"/>
  </si>
  <si>
    <t>使用者および爆発の範囲内の味方１人</t>
    <phoneticPr fontId="1"/>
  </si>
  <si>
    <t>使用者がイニシアチブをロールし、その結果が気に入らない</t>
    <phoneticPr fontId="1"/>
  </si>
  <si>
    <t>全ての目標は自分のイニシアチブ判定結果の代わりに</t>
    <phoneticPr fontId="1"/>
  </si>
  <si>
    <r>
      <rPr>
        <b/>
        <sz val="11"/>
        <color rgb="FFFF0000"/>
        <rFont val="ＭＳ Ｐゴシック"/>
        <family val="3"/>
        <charset val="128"/>
        <scheme val="minor"/>
      </rPr>
      <t>使用者の受動〈知覚〉判定値</t>
    </r>
    <r>
      <rPr>
        <sz val="11"/>
        <rFont val="ＭＳ Ｐゴシック"/>
        <family val="3"/>
        <charset val="128"/>
        <scheme val="minor"/>
      </rPr>
      <t>を用いることができる。</t>
    </r>
    <phoneticPr fontId="1"/>
  </si>
  <si>
    <t>①ほぼ出目MAXの効果</t>
    <rPh sb="3" eb="5">
      <t>デメ</t>
    </rPh>
    <rPh sb="9" eb="11">
      <t>コウカ</t>
    </rPh>
    <phoneticPr fontId="1"/>
  </si>
  <si>
    <t>　　このパワー使用後の固定値はリュカオン本人の出目１９相当の値なので、かなり大きい。</t>
    <rPh sb="7" eb="10">
      <t>シヨウゴ</t>
    </rPh>
    <rPh sb="11" eb="14">
      <t>コテイチ</t>
    </rPh>
    <rPh sb="20" eb="22">
      <t>ホンニン</t>
    </rPh>
    <rPh sb="23" eb="25">
      <t>デメ</t>
    </rPh>
    <rPh sb="27" eb="29">
      <t>ソウトウ</t>
    </rPh>
    <rPh sb="30" eb="31">
      <t>アタイ</t>
    </rPh>
    <rPh sb="38" eb="39">
      <t>オオ</t>
    </rPh>
    <phoneticPr fontId="1"/>
  </si>
  <si>
    <t>②無双の反応がイマイチな理由は・・・</t>
    <rPh sb="1" eb="3">
      <t>ムソウ</t>
    </rPh>
    <rPh sb="4" eb="6">
      <t>ハンノウ</t>
    </rPh>
    <rPh sb="12" eb="14">
      <t>リユウ</t>
    </rPh>
    <phoneticPr fontId="1"/>
  </si>
  <si>
    <t>　　スミスやタンナイズにとっては出目２０オーバーの価値があるので遭遇によっては効果的か？</t>
    <rPh sb="16" eb="18">
      <t>デメ</t>
    </rPh>
    <rPh sb="25" eb="27">
      <t>カチ</t>
    </rPh>
    <rPh sb="32" eb="34">
      <t>ソウグウ</t>
    </rPh>
    <rPh sb="39" eb="42">
      <t>コウカテキ</t>
    </rPh>
    <phoneticPr fontId="1"/>
  </si>
  <si>
    <t>　　敵が潜んでいるタイプの遭遇では無双の反応がただの防御UP特技でしかなくなるが、</t>
    <rPh sb="2" eb="3">
      <t>テキ</t>
    </rPh>
    <rPh sb="4" eb="5">
      <t>ヒソ</t>
    </rPh>
    <rPh sb="13" eb="15">
      <t>ソウグウ</t>
    </rPh>
    <rPh sb="17" eb="19">
      <t>ムソウ</t>
    </rPh>
    <rPh sb="20" eb="22">
      <t>ハンノウ</t>
    </rPh>
    <rPh sb="26" eb="28">
      <t>ボウギョ</t>
    </rPh>
    <rPh sb="30" eb="32">
      <t>トクギ</t>
    </rPh>
    <phoneticPr fontId="1"/>
  </si>
  <si>
    <t>　　ハッキリ言って、このパワーが効果的な遭遇と遭遇する可能性は無双の反応以下。</t>
    <rPh sb="6" eb="7">
      <t>イ</t>
    </rPh>
    <rPh sb="16" eb="19">
      <t>コウカテキ</t>
    </rPh>
    <rPh sb="20" eb="22">
      <t>ソウグウ</t>
    </rPh>
    <rPh sb="23" eb="25">
      <t>ソウグウ</t>
    </rPh>
    <rPh sb="27" eb="30">
      <t>カノウセイ</t>
    </rPh>
    <rPh sb="36" eb="38">
      <t>イカ</t>
    </rPh>
    <phoneticPr fontId="1"/>
  </si>
  <si>
    <t>　　更にはカスク・オヴ・タクティクス同様、元のロールが好調だと使用タイミングを逃しがち・・・。</t>
    <rPh sb="2" eb="3">
      <t>サラ</t>
    </rPh>
    <rPh sb="18" eb="20">
      <t>ドウヨウ</t>
    </rPh>
    <rPh sb="21" eb="22">
      <t>モト</t>
    </rPh>
    <rPh sb="27" eb="29">
      <t>コウチョウ</t>
    </rPh>
    <rPh sb="31" eb="33">
      <t>シヨウ</t>
    </rPh>
    <rPh sb="39" eb="40">
      <t>ノガ</t>
    </rPh>
    <phoneticPr fontId="1"/>
  </si>
  <si>
    <t>③RJとの相性がイマイチ</t>
    <rPh sb="5" eb="7">
      <t>アイショウ</t>
    </rPh>
    <phoneticPr fontId="1"/>
  </si>
  <si>
    <t>　　このパワーも同様の理由で無力化のリスクが存在する。</t>
    <rPh sb="8" eb="10">
      <t>ドウヨウ</t>
    </rPh>
    <rPh sb="11" eb="13">
      <t>リユウ</t>
    </rPh>
    <rPh sb="14" eb="17">
      <t>ムリョクカ</t>
    </rPh>
    <rPh sb="22" eb="24">
      <t>ソンザイ</t>
    </rPh>
    <phoneticPr fontId="1"/>
  </si>
  <si>
    <t>　　現時点では困った事に、パワーボーナスも含めたイニシアチブ修正値が完全にRJと互角・・・！</t>
    <rPh sb="2" eb="5">
      <t>ゲンジテン</t>
    </rPh>
    <rPh sb="7" eb="8">
      <t>コマ</t>
    </rPh>
    <rPh sb="10" eb="11">
      <t>コト</t>
    </rPh>
    <rPh sb="21" eb="22">
      <t>フク</t>
    </rPh>
    <rPh sb="30" eb="32">
      <t>シュウセイ</t>
    </rPh>
    <rPh sb="32" eb="33">
      <t>チ</t>
    </rPh>
    <rPh sb="34" eb="36">
      <t>カンゼン</t>
    </rPh>
    <rPh sb="40" eb="42">
      <t>ゴカク</t>
    </rPh>
    <phoneticPr fontId="1"/>
  </si>
  <si>
    <t>　　つまりRJに対してこのパワーを使用すると必ずタイブレイクが生じ、</t>
    <rPh sb="8" eb="9">
      <t>タイ</t>
    </rPh>
    <rPh sb="17" eb="19">
      <t>シヨウ</t>
    </rPh>
    <rPh sb="22" eb="23">
      <t>カナラ</t>
    </rPh>
    <rPh sb="31" eb="32">
      <t>ショウ</t>
    </rPh>
    <phoneticPr fontId="1"/>
  </si>
  <si>
    <t>　　リュカオンとどちらが先かは完全に運まかせになってしまうのである。</t>
    <rPh sb="12" eb="13">
      <t>サキ</t>
    </rPh>
    <rPh sb="15" eb="17">
      <t>カンゼン</t>
    </rPh>
    <rPh sb="18" eb="19">
      <t>ウン</t>
    </rPh>
    <phoneticPr fontId="1"/>
  </si>
  <si>
    <t>　　RJはそのテーマの特性上、イニシアチブが早すぎると困るので困った事態になりかねない。</t>
    <rPh sb="11" eb="13">
      <t>トクセイ</t>
    </rPh>
    <rPh sb="13" eb="14">
      <t>ジョウ</t>
    </rPh>
    <rPh sb="22" eb="23">
      <t>ハヤ</t>
    </rPh>
    <rPh sb="27" eb="28">
      <t>コマ</t>
    </rPh>
    <rPh sb="31" eb="32">
      <t>コマ</t>
    </rPh>
    <rPh sb="34" eb="36">
      <t>ジタイ</t>
    </rPh>
    <phoneticPr fontId="1"/>
  </si>
  <si>
    <t>　　まァ、カスク・オヴ・タクティクスと併用する事で意外と融通は効きそうなのだが。</t>
    <rPh sb="19" eb="21">
      <t>ヘイヨウ</t>
    </rPh>
    <rPh sb="23" eb="24">
      <t>コト</t>
    </rPh>
    <rPh sb="25" eb="27">
      <t>イガイ</t>
    </rPh>
    <rPh sb="28" eb="30">
      <t>ユウヅウ</t>
    </rPh>
    <rPh sb="31" eb="32">
      <t>キ</t>
    </rPh>
    <phoneticPr fontId="1"/>
  </si>
  <si>
    <t>④一緒に先手を獲りたい味方は？</t>
    <rPh sb="1" eb="3">
      <t>イッショ</t>
    </rPh>
    <rPh sb="4" eb="6">
      <t>センテ</t>
    </rPh>
    <rPh sb="7" eb="8">
      <t>ト</t>
    </rPh>
    <rPh sb="11" eb="13">
      <t>ミカタ</t>
    </rPh>
    <phoneticPr fontId="1"/>
  </si>
  <si>
    <t>　　このパワーを使用する以上は眼前に敵が迫っているハズなので、</t>
    <rPh sb="8" eb="10">
      <t>シヨウ</t>
    </rPh>
    <rPh sb="12" eb="14">
      <t>イジョウ</t>
    </rPh>
    <rPh sb="15" eb="17">
      <t>ガンゼン</t>
    </rPh>
    <rPh sb="18" eb="19">
      <t>テキ</t>
    </rPh>
    <rPh sb="20" eb="21">
      <t>セマ</t>
    </rPh>
    <phoneticPr fontId="1"/>
  </si>
  <si>
    <t>　　必然的に範囲攻撃が得意な味方を優先する事になりそう。</t>
    <rPh sb="2" eb="5">
      <t>ヒツゼンテキ</t>
    </rPh>
    <rPh sb="6" eb="8">
      <t>ハンイ</t>
    </rPh>
    <rPh sb="8" eb="10">
      <t>コウゲキ</t>
    </rPh>
    <rPh sb="11" eb="13">
      <t>トクイ</t>
    </rPh>
    <rPh sb="14" eb="16">
      <t>ミカタ</t>
    </rPh>
    <rPh sb="17" eb="19">
      <t>ユウセン</t>
    </rPh>
    <rPh sb="21" eb="22">
      <t>コト</t>
    </rPh>
    <phoneticPr fontId="1"/>
  </si>
  <si>
    <t>　　スミスやタンナイズはハッキリと遅いと言えるので結構期待したい。</t>
    <rPh sb="17" eb="18">
      <t>オソ</t>
    </rPh>
    <rPh sb="20" eb="21">
      <t>イ</t>
    </rPh>
    <rPh sb="25" eb="27">
      <t>ケッコウ</t>
    </rPh>
    <rPh sb="27" eb="29">
      <t>キタイ</t>
    </rPh>
    <phoneticPr fontId="1"/>
  </si>
  <si>
    <t>　　イーライは元々イニシアチブがある程度早いので自力で解決する余地があるが、</t>
    <rPh sb="7" eb="9">
      <t>モトモト</t>
    </rPh>
    <rPh sb="18" eb="20">
      <t>テイド</t>
    </rPh>
    <rPh sb="20" eb="21">
      <t>ハヤ</t>
    </rPh>
    <rPh sb="24" eb="26">
      <t>ジリキ</t>
    </rPh>
    <rPh sb="27" eb="29">
      <t>カイケツ</t>
    </rPh>
    <rPh sb="31" eb="33">
      <t>ヨチ</t>
    </rPh>
    <phoneticPr fontId="1"/>
  </si>
  <si>
    <t>　　特にタンナイズは現在、かなり範囲攻撃が充実しているので有効性はUPしている。</t>
    <rPh sb="2" eb="3">
      <t>トク</t>
    </rPh>
    <rPh sb="10" eb="12">
      <t>ゲンザイ</t>
    </rPh>
    <rPh sb="16" eb="18">
      <t>ハンイ</t>
    </rPh>
    <rPh sb="18" eb="20">
      <t>コウゲキ</t>
    </rPh>
    <rPh sb="21" eb="23">
      <t>ジュウジツ</t>
    </rPh>
    <rPh sb="29" eb="31">
      <t>ユウコウ</t>
    </rPh>
    <rPh sb="31" eb="32">
      <t>セイ</t>
    </rPh>
    <phoneticPr fontId="1"/>
  </si>
  <si>
    <t>⑤セットプレイでヘルム・オヴ・ヒーローズと併用</t>
    <rPh sb="21" eb="23">
      <t>ヘイヨウ</t>
    </rPh>
    <phoneticPr fontId="1"/>
  </si>
  <si>
    <t>　　シェリーがアイアー増幅２で範囲攻撃を撃たせる絶好のタイミングであると断言出来る！</t>
    <rPh sb="11" eb="13">
      <t>ゾウフク</t>
    </rPh>
    <rPh sb="15" eb="17">
      <t>ハンイ</t>
    </rPh>
    <rPh sb="17" eb="19">
      <t>コウゲキ</t>
    </rPh>
    <rPh sb="20" eb="21">
      <t>ウ</t>
    </rPh>
    <rPh sb="24" eb="26">
      <t>ゼッコウ</t>
    </rPh>
    <rPh sb="36" eb="40">
      <t>ダンゲンデキ</t>
    </rPh>
    <phoneticPr fontId="1"/>
  </si>
  <si>
    <t>　　もしイーライの範囲攻撃の絶好ポイントがあるならば、</t>
    <rPh sb="9" eb="11">
      <t>ハンイ</t>
    </rPh>
    <rPh sb="11" eb="13">
      <t>コウゲキ</t>
    </rPh>
    <rPh sb="14" eb="16">
      <t>ゼッコウ</t>
    </rPh>
    <phoneticPr fontId="1"/>
  </si>
  <si>
    <t>　　わざわざこのパワーで先手獲りに行く以上は、これ位の本気を見せなければ・・・。</t>
    <rPh sb="12" eb="14">
      <t>センテ</t>
    </rPh>
    <rPh sb="14" eb="15">
      <t>ト</t>
    </rPh>
    <rPh sb="17" eb="18">
      <t>イ</t>
    </rPh>
    <rPh sb="19" eb="21">
      <t>イジョウ</t>
    </rPh>
    <rPh sb="25" eb="26">
      <t>クライ</t>
    </rPh>
    <rPh sb="27" eb="29">
      <t>ホンキ</t>
    </rPh>
    <rPh sb="30" eb="31">
      <t>ミ</t>
    </rPh>
    <phoneticPr fontId="1"/>
  </si>
  <si>
    <t>AC or 反応</t>
    <rPh sb="6" eb="7">
      <t>ハン</t>
    </rPh>
    <rPh sb="7" eb="8">
      <t>オウ</t>
    </rPh>
    <phoneticPr fontId="1"/>
  </si>
  <si>
    <t>AC
or
反応</t>
    <rPh sb="6" eb="8">
      <t>ハンノウ</t>
    </rPh>
    <phoneticPr fontId="1"/>
  </si>
  <si>
    <t>底力直後飛行中機会攻撃</t>
    <rPh sb="0" eb="1">
      <t>ソコ</t>
    </rPh>
    <rPh sb="1" eb="2">
      <t>チカラ</t>
    </rPh>
    <rPh sb="2" eb="4">
      <t>チョクゴ</t>
    </rPh>
    <rPh sb="4" eb="6">
      <t>ヒコウ</t>
    </rPh>
    <rPh sb="6" eb="7">
      <t>チュウ</t>
    </rPh>
    <rPh sb="7" eb="9">
      <t>キカイ</t>
    </rPh>
    <rPh sb="9" eb="11">
      <t>コウゲキ</t>
    </rPh>
    <phoneticPr fontId="1"/>
  </si>
  <si>
    <t>+6</t>
  </si>
  <si>
    <t>+6</t>
    <phoneticPr fontId="1"/>
  </si>
  <si>
    <t>ストームシャード･ロングスピア+4</t>
    <phoneticPr fontId="1"/>
  </si>
  <si>
    <t>スピア類、長柄武器、間合い、クリティカル特殊</t>
    <rPh sb="3" eb="4">
      <t>ルイ</t>
    </rPh>
    <rPh sb="5" eb="7">
      <t>ナガエ</t>
    </rPh>
    <rPh sb="7" eb="9">
      <t>ブキ</t>
    </rPh>
    <rPh sb="10" eb="12">
      <t>マア</t>
    </rPh>
    <rPh sb="20" eb="22">
      <t>トクシュ</t>
    </rPh>
    <phoneticPr fontId="1"/>
  </si>
  <si>
    <t>アックス類、副武器、重投擲、クリティカル特殊</t>
    <rPh sb="4" eb="5">
      <t>ルイ</t>
    </rPh>
    <rPh sb="6" eb="7">
      <t>フク</t>
    </rPh>
    <rPh sb="7" eb="9">
      <t>ブキ</t>
    </rPh>
    <rPh sb="10" eb="11">
      <t>オモ</t>
    </rPh>
    <rPh sb="11" eb="13">
      <t>トウテキ</t>
    </rPh>
    <rPh sb="20" eb="22">
      <t>トクシュ</t>
    </rPh>
    <phoneticPr fontId="1"/>
  </si>
  <si>
    <t>ディフェンシブ･スパイクト･ガントレット+4</t>
    <phoneticPr fontId="1"/>
  </si>
  <si>
    <t>素手、副武器</t>
    <rPh sb="0" eb="2">
      <t>スデ</t>
    </rPh>
    <rPh sb="3" eb="4">
      <t>フク</t>
    </rPh>
    <rPh sb="4" eb="6">
      <t>ブキ</t>
    </rPh>
    <phoneticPr fontId="1"/>
  </si>
  <si>
    <t>つかみ</t>
    <phoneticPr fontId="1"/>
  </si>
  <si>
    <t>素手</t>
    <rPh sb="0" eb="2">
      <t>スデ</t>
    </rPh>
    <phoneticPr fontId="1"/>
  </si>
  <si>
    <t>遠隔（ACのみ）</t>
    <rPh sb="0" eb="2">
      <t>エンカク</t>
    </rPh>
    <phoneticPr fontId="1"/>
  </si>
  <si>
    <t>遠隔基礎</t>
  </si>
  <si>
    <t>ダメージボーナス</t>
    <phoneticPr fontId="1"/>
  </si>
  <si>
    <t>ダメージダイス</t>
    <phoneticPr fontId="1"/>
  </si>
  <si>
    <t>d</t>
    <phoneticPr fontId="1"/>
  </si>
  <si>
    <t>パワー情報</t>
    <rPh sb="3" eb="5">
      <t>ジョウホウ</t>
    </rPh>
    <phoneticPr fontId="1"/>
  </si>
  <si>
    <t>テンペスト･アソールト</t>
    <phoneticPr fontId="1"/>
  </si>
  <si>
    <t>つかみ</t>
    <phoneticPr fontId="1"/>
  </si>
  <si>
    <t>素手攻撃（対AC）</t>
    <rPh sb="0" eb="2">
      <t>スデ</t>
    </rPh>
    <rPh sb="2" eb="4">
      <t>コウゲキ</t>
    </rPh>
    <phoneticPr fontId="1"/>
  </si>
  <si>
    <t>ウォーデン/攻撃/１7　(原19)</t>
    <rPh sb="6" eb="8">
      <t>コウゲキ</t>
    </rPh>
    <rPh sb="13" eb="14">
      <t>ハラ</t>
    </rPh>
    <phoneticPr fontId="1"/>
  </si>
  <si>
    <t>[遭遇毎]◆［原始]［火]［武器]</t>
    <rPh sb="1" eb="3">
      <t>ソウグウ</t>
    </rPh>
    <rPh sb="3" eb="4">
      <t>マイ</t>
    </rPh>
    <rPh sb="11" eb="12">
      <t>ヒ</t>
    </rPh>
    <phoneticPr fontId="1"/>
  </si>
  <si>
    <t>素手突撃</t>
    <rPh sb="0" eb="2">
      <t>スデ</t>
    </rPh>
    <rPh sb="2" eb="4">
      <t>トツゲキ</t>
    </rPh>
    <phoneticPr fontId="1"/>
  </si>
  <si>
    <t>(１[Ｗ]＋【筋】)[電撃]ダメージ</t>
    <rPh sb="7" eb="8">
      <t>キン</t>
    </rPh>
    <phoneticPr fontId="1"/>
  </si>
  <si>
    <t>Lv21：(２[Ｗ]＋【筋】)[電撃]ダメージ</t>
    <rPh sb="12" eb="13">
      <t>キン</t>
    </rPh>
    <phoneticPr fontId="1"/>
  </si>
  <si>
    <t>※《貫通の槍》(武勇Ⅱ140)</t>
    <rPh sb="2" eb="4">
      <t>カンツウ</t>
    </rPh>
    <rPh sb="5" eb="6">
      <t>ヤリ</t>
    </rPh>
    <rPh sb="8" eb="10">
      <t>ブユウ</t>
    </rPh>
    <phoneticPr fontId="1"/>
  </si>
  <si>
    <t>ブラッド・フューリィ・ハンドアックス+3</t>
    <phoneticPr fontId="1"/>
  </si>
  <si>
    <t>ウォーデンズ･ルアー</t>
    <phoneticPr fontId="1"/>
  </si>
  <si>
    <t>範囲内の使用者が見ることのできる敵すべて</t>
    <rPh sb="0" eb="3">
      <t>ハンイナイ</t>
    </rPh>
    <rPh sb="16" eb="17">
      <t>テキ</t>
    </rPh>
    <phoneticPr fontId="1"/>
  </si>
  <si>
    <t>次に使用者は以下の攻撃を行う。</t>
    <phoneticPr fontId="1"/>
  </si>
  <si>
    <r>
      <t>使用者はすべての目標を、</t>
    </r>
    <r>
      <rPr>
        <b/>
        <sz val="11"/>
        <color rgb="FFFF0000"/>
        <rFont val="ＭＳ Ｐゴシック"/>
        <family val="3"/>
        <charset val="128"/>
        <scheme val="minor"/>
      </rPr>
      <t>使用者に隣接するマス目へと3マス引き寄せ</t>
    </r>
    <r>
      <rPr>
        <sz val="11"/>
        <rFont val="ＭＳ Ｐゴシック"/>
        <family val="3"/>
        <charset val="128"/>
        <scheme val="minor"/>
      </rPr>
      <t>る。</t>
    </r>
    <phoneticPr fontId="1"/>
  </si>
  <si>
    <t>(２[Ｗ]＋【筋】)［火]ダメージ</t>
    <phoneticPr fontId="1"/>
  </si>
  <si>
    <r>
      <t>使用者は目標を</t>
    </r>
    <r>
      <rPr>
        <b/>
        <sz val="11"/>
        <color rgb="FFFF0000"/>
        <rFont val="ＭＳ Ｐゴシック"/>
        <family val="3"/>
        <charset val="128"/>
        <scheme val="minor"/>
      </rPr>
      <t>1マス横滑り</t>
    </r>
    <r>
      <rPr>
        <sz val="11"/>
        <color theme="1"/>
        <rFont val="ＭＳ Ｐゴシック"/>
        <family val="3"/>
        <charset val="128"/>
        <scheme val="minor"/>
      </rPr>
      <t>させる。</t>
    </r>
    <rPh sb="0" eb="3">
      <t>シヨウシャ</t>
    </rPh>
    <rPh sb="4" eb="6">
      <t>モクヒョウ</t>
    </rPh>
    <phoneticPr fontId="1"/>
  </si>
  <si>
    <r>
      <t>　　パワー [日]：標準アクション。　</t>
    </r>
    <r>
      <rPr>
        <b/>
        <sz val="11"/>
        <color rgb="FFFF0000"/>
        <rFont val="ＭＳ Ｐゴシック"/>
        <family val="3"/>
        <charset val="128"/>
        <scheme val="minor"/>
      </rPr>
      <t>２体まで</t>
    </r>
    <r>
      <rPr>
        <sz val="11"/>
        <color theme="1"/>
        <rFont val="ＭＳ Ｐゴシック"/>
        <family val="2"/>
        <charset val="128"/>
        <scheme val="minor"/>
      </rPr>
      <t>のクリーチャーに対して1回の</t>
    </r>
    <r>
      <rPr>
        <b/>
        <sz val="11"/>
        <color rgb="FFFF0000"/>
        <rFont val="ＭＳ Ｐゴシック"/>
        <family val="3"/>
        <charset val="128"/>
        <scheme val="minor"/>
      </rPr>
      <t>近接基礎攻撃</t>
    </r>
    <r>
      <rPr>
        <sz val="11"/>
        <color theme="1"/>
        <rFont val="ＭＳ Ｐゴシック"/>
        <family val="2"/>
        <charset val="128"/>
        <scheme val="minor"/>
      </rPr>
      <t>を行う。</t>
    </r>
    <rPh sb="7" eb="8">
      <t>ヒ</t>
    </rPh>
    <phoneticPr fontId="1"/>
  </si>
  <si>
    <t>※Bracers of Speed (Dr386:29)</t>
    <phoneticPr fontId="1"/>
  </si>
  <si>
    <t>【筋】対"ＡC" or "反応"</t>
    <rPh sb="3" eb="4">
      <t>タイ</t>
    </rPh>
    <rPh sb="13" eb="14">
      <t>ハン</t>
    </rPh>
    <rPh sb="14" eb="15">
      <t>オウ</t>
    </rPh>
    <phoneticPr fontId="1"/>
  </si>
  <si>
    <t>使用者から2マス以内にいて使用者からマークされている目標以外の1体の敵は、</t>
    <phoneticPr fontId="1"/>
  </si>
  <si>
    <t>(【耐】)[雷鳴]ダメージを受ける。</t>
    <phoneticPr fontId="1"/>
  </si>
  <si>
    <t>イーライ　　ＡＰ</t>
    <phoneticPr fontId="1"/>
  </si>
  <si>
    <t>電撃</t>
    <rPh sb="0" eb="2">
      <t>デンゲキ</t>
    </rPh>
    <phoneticPr fontId="1"/>
  </si>
  <si>
    <t>頑健</t>
    <rPh sb="0" eb="2">
      <t>ガンケン</t>
    </rPh>
    <phoneticPr fontId="1"/>
  </si>
  <si>
    <t>敵重傷</t>
  </si>
  <si>
    <t>反応</t>
    <rPh sb="0" eb="1">
      <t>ハン</t>
    </rPh>
    <rPh sb="1" eb="2">
      <t>オウ</t>
    </rPh>
    <phoneticPr fontId="1"/>
  </si>
  <si>
    <t>反応</t>
    <rPh sb="0" eb="2">
      <t>ハンノウ</t>
    </rPh>
    <phoneticPr fontId="1"/>
  </si>
  <si>
    <t>※《Swaying Branches/揺さぶる枝》 (Dr392:29)</t>
    <rPh sb="19" eb="20">
      <t>ユ</t>
    </rPh>
    <rPh sb="23" eb="24">
      <t>エダ</t>
    </rPh>
    <phoneticPr fontId="1"/>
  </si>
  <si>
    <t>※《精霊のロングトゥース・シフター》(ＰＨⅡ141)</t>
    <rPh sb="2" eb="4">
      <t>セイレイ</t>
    </rPh>
    <phoneticPr fontId="1"/>
  </si>
  <si>
    <t>※ストームシャード･ロングスピア+4(元素152)</t>
    <rPh sb="19" eb="21">
      <t>ゲンソ</t>
    </rPh>
    <phoneticPr fontId="1"/>
  </si>
  <si>
    <t>　　クリティカル：目標から5マス以内の敵1体が4d8の[電撃][雷鳴]ダメージを受ける。</t>
    <phoneticPr fontId="1"/>
  </si>
  <si>
    <t>※ブラッド・フューリィ・ハンドアックス+3(宝Ⅱ23)</t>
    <phoneticPr fontId="1"/>
  </si>
  <si>
    <t>　　クリティカル：3d8ダメージ、あるいは使用者が重傷であるなら3d12ダメージ。</t>
    <rPh sb="21" eb="24">
      <t>シヨウシャ</t>
    </rPh>
    <rPh sb="25" eb="27">
      <t>ジュウショウ</t>
    </rPh>
    <phoneticPr fontId="1"/>
  </si>
  <si>
    <t>敵重傷素手</t>
    <rPh sb="0" eb="1">
      <t>テキ</t>
    </rPh>
    <rPh sb="1" eb="3">
      <t>ジュウショウ</t>
    </rPh>
    <rPh sb="3" eb="5">
      <t>スデ</t>
    </rPh>
    <phoneticPr fontId="1"/>
  </si>
  <si>
    <t>爆発</t>
    <rPh sb="0" eb="2">
      <t>バクハツ</t>
    </rPh>
    <phoneticPr fontId="1"/>
  </si>
  <si>
    <r>
      <t>[遭遇毎]◆［原始]［瞬間移動]［武器][</t>
    </r>
    <r>
      <rPr>
        <b/>
        <sz val="11"/>
        <color rgb="FFFF0000"/>
        <rFont val="ＭＳ Ｐゴシック"/>
        <family val="3"/>
        <charset val="128"/>
        <scheme val="minor"/>
      </rPr>
      <t>雷鳴</t>
    </r>
    <r>
      <rPr>
        <sz val="11"/>
        <color theme="1"/>
        <rFont val="ＭＳ Ｐゴシック"/>
        <family val="2"/>
        <charset val="128"/>
        <scheme val="minor"/>
      </rPr>
      <t>]</t>
    </r>
    <rPh sb="1" eb="3">
      <t>ソウグウ</t>
    </rPh>
    <rPh sb="3" eb="4">
      <t>マイ</t>
    </rPh>
    <rPh sb="11" eb="13">
      <t>シュンカン</t>
    </rPh>
    <rPh sb="13" eb="15">
      <t>イドウ</t>
    </rPh>
    <rPh sb="21" eb="23">
      <t>ライメイ</t>
    </rPh>
    <phoneticPr fontId="1"/>
  </si>
  <si>
    <t>変身で間合いが伸びると９マス先の敵まで殴れるので、本当に自由度が増す・・・。</t>
    <rPh sb="0" eb="2">
      <t>ヘンシン</t>
    </rPh>
    <rPh sb="3" eb="5">
      <t>マア</t>
    </rPh>
    <rPh sb="7" eb="8">
      <t>ノ</t>
    </rPh>
    <phoneticPr fontId="1"/>
  </si>
  <si>
    <r>
      <t>[無限回]◆［原始]［武器][</t>
    </r>
    <r>
      <rPr>
        <b/>
        <sz val="11"/>
        <color rgb="FFFF0000"/>
        <rFont val="ＭＳ Ｐゴシック"/>
        <family val="3"/>
        <charset val="128"/>
        <scheme val="minor"/>
      </rPr>
      <t>電撃</t>
    </r>
    <r>
      <rPr>
        <sz val="11"/>
        <color theme="1"/>
        <rFont val="ＭＳ Ｐゴシック"/>
        <family val="2"/>
        <charset val="128"/>
        <scheme val="minor"/>
      </rPr>
      <t>][</t>
    </r>
    <r>
      <rPr>
        <b/>
        <sz val="11"/>
        <color rgb="FFFF0000"/>
        <rFont val="ＭＳ Ｐゴシック"/>
        <family val="3"/>
        <charset val="128"/>
        <scheme val="minor"/>
      </rPr>
      <t>雷鳴</t>
    </r>
    <r>
      <rPr>
        <sz val="11"/>
        <color theme="1"/>
        <rFont val="ＭＳ Ｐゴシック"/>
        <family val="2"/>
        <charset val="128"/>
        <scheme val="minor"/>
      </rPr>
      <t>]</t>
    </r>
    <rPh sb="1" eb="3">
      <t>ムゲン</t>
    </rPh>
    <rPh sb="3" eb="4">
      <t>カイ</t>
    </rPh>
    <phoneticPr fontId="1"/>
  </si>
  <si>
    <r>
      <t>　　　　　使用者は</t>
    </r>
    <r>
      <rPr>
        <b/>
        <sz val="11"/>
        <color rgb="FFFF0000"/>
        <rFont val="ＭＳ Ｐゴシック"/>
        <family val="3"/>
        <charset val="128"/>
        <scheme val="minor"/>
      </rPr>
      <t>自分に隣接するクリーチャー1体を2マスまで横滑り</t>
    </r>
    <r>
      <rPr>
        <sz val="11"/>
        <color theme="1"/>
        <rFont val="ＭＳ Ｐゴシック"/>
        <family val="2"/>
        <charset val="128"/>
        <scheme val="minor"/>
      </rPr>
      <t>させることができる。</t>
    </r>
    <phoneticPr fontId="1"/>
  </si>
  <si>
    <r>
      <t>　　特性：使用者がこの武器を用いて[</t>
    </r>
    <r>
      <rPr>
        <b/>
        <sz val="11"/>
        <color rgb="FFFF0000"/>
        <rFont val="ＭＳ Ｐゴシック"/>
        <family val="3"/>
        <charset val="128"/>
        <scheme val="minor"/>
      </rPr>
      <t>電撃</t>
    </r>
    <r>
      <rPr>
        <sz val="11"/>
        <color theme="1"/>
        <rFont val="ＭＳ Ｐゴシック"/>
        <family val="2"/>
        <charset val="128"/>
        <scheme val="minor"/>
      </rPr>
      <t>]or[</t>
    </r>
    <r>
      <rPr>
        <b/>
        <sz val="11"/>
        <color rgb="FFFF0000"/>
        <rFont val="ＭＳ Ｐゴシック"/>
        <family val="3"/>
        <charset val="128"/>
        <scheme val="minor"/>
      </rPr>
      <t>雷鳴</t>
    </r>
    <r>
      <rPr>
        <sz val="11"/>
        <color theme="1"/>
        <rFont val="ＭＳ Ｐゴシック"/>
        <family val="2"/>
        <charset val="128"/>
        <scheme val="minor"/>
      </rPr>
      <t>]攻撃Powを1体以上の目標にヒットさせるたび、</t>
    </r>
    <rPh sb="2" eb="4">
      <t>トクセイ</t>
    </rPh>
    <phoneticPr fontId="1"/>
  </si>
  <si>
    <r>
      <t>　　　スピア類を用いて</t>
    </r>
    <r>
      <rPr>
        <b/>
        <sz val="11"/>
        <color rgb="FFFF0000"/>
        <rFont val="ＭＳ Ｐゴシック"/>
        <family val="3"/>
        <charset val="128"/>
        <scheme val="minor"/>
      </rPr>
      <t>近接基礎攻撃</t>
    </r>
    <r>
      <rPr>
        <sz val="11"/>
        <color theme="1"/>
        <rFont val="ＭＳ Ｐゴシック"/>
        <family val="2"/>
        <charset val="128"/>
        <scheme val="minor"/>
      </rPr>
      <t>を行う時、ACあるいは反応防御値のいずれかを選べる。</t>
    </r>
    <phoneticPr fontId="1"/>
  </si>
  <si>
    <t>対反応攻撃である近接基礎攻撃でダメージを優先する場合も当然あるのだ。</t>
    <rPh sb="0" eb="1">
      <t>タイ</t>
    </rPh>
    <rPh sb="1" eb="3">
      <t>ハンノウ</t>
    </rPh>
    <rPh sb="3" eb="5">
      <t>コウゲキ</t>
    </rPh>
    <rPh sb="8" eb="10">
      <t>キンセツ</t>
    </rPh>
    <rPh sb="10" eb="12">
      <t>キソ</t>
    </rPh>
    <rPh sb="12" eb="14">
      <t>コウゲキ</t>
    </rPh>
    <rPh sb="20" eb="22">
      <t>ユウセン</t>
    </rPh>
    <rPh sb="24" eb="26">
      <t>バアイ</t>
    </rPh>
    <rPh sb="27" eb="29">
      <t>トウゼン</t>
    </rPh>
    <phoneticPr fontId="1"/>
  </si>
  <si>
    <t>リュカオンに隣接中のクリ―チャ―１体、２マス横滑り</t>
    <rPh sb="6" eb="8">
      <t>リンセツ</t>
    </rPh>
    <rPh sb="8" eb="9">
      <t>チュウ</t>
    </rPh>
    <rPh sb="17" eb="18">
      <t>タイ</t>
    </rPh>
    <rPh sb="22" eb="24">
      <t>ヨコスベ</t>
    </rPh>
    <phoneticPr fontId="1"/>
  </si>
  <si>
    <t>１２マス先の敵までも殴れるので、このパワーを使って狙い通りの敵に纏わり付きたい。</t>
    <rPh sb="4" eb="5">
      <t>サキ</t>
    </rPh>
    <rPh sb="6" eb="7">
      <t>テキ</t>
    </rPh>
    <rPh sb="10" eb="11">
      <t>ナグ</t>
    </rPh>
    <phoneticPr fontId="1"/>
  </si>
  <si>
    <t>火</t>
    <rPh sb="0" eb="1">
      <t>ヒ</t>
    </rPh>
    <phoneticPr fontId="1"/>
  </si>
  <si>
    <r>
      <t>使用者に</t>
    </r>
    <r>
      <rPr>
        <b/>
        <sz val="11"/>
        <color rgb="FFFF0000"/>
        <rFont val="ＭＳ Ｐゴシック"/>
        <family val="3"/>
        <charset val="128"/>
        <scheme val="minor"/>
      </rPr>
      <t>隣接するすべての敵</t>
    </r>
    <phoneticPr fontId="1"/>
  </si>
  <si>
    <r>
      <t xml:space="preserve">【筋】対"ＡＣ"。 </t>
    </r>
    <r>
      <rPr>
        <b/>
        <sz val="11"/>
        <color rgb="FFFF0000"/>
        <rFont val="ＭＳ Ｐゴシック"/>
        <family val="3"/>
        <charset val="128"/>
        <scheme val="minor"/>
      </rPr>
      <t>目標が重傷</t>
    </r>
    <r>
      <rPr>
        <sz val="11"/>
        <rFont val="ＭＳ Ｐゴシック"/>
        <family val="3"/>
        <charset val="128"/>
        <scheme val="minor"/>
      </rPr>
      <t>なら、使用者はこの</t>
    </r>
    <r>
      <rPr>
        <b/>
        <sz val="11"/>
        <color rgb="FFFF0000"/>
        <rFont val="ＭＳ Ｐゴシック"/>
        <family val="3"/>
        <charset val="128"/>
        <scheme val="minor"/>
      </rPr>
      <t>攻撃Rに＋２</t>
    </r>
    <r>
      <rPr>
        <sz val="11"/>
        <rFont val="ＭＳ Ｐゴシック"/>
        <family val="3"/>
        <charset val="128"/>
        <scheme val="minor"/>
      </rPr>
      <t>のボーナスを得る。</t>
    </r>
    <rPh sb="3" eb="4">
      <t>タイ</t>
    </rPh>
    <rPh sb="10" eb="12">
      <t>モクヒョウ</t>
    </rPh>
    <rPh sb="13" eb="15">
      <t>ジュウショウ</t>
    </rPh>
    <rPh sb="18" eb="20">
      <t>シヨウ</t>
    </rPh>
    <rPh sb="20" eb="21">
      <t>シャ</t>
    </rPh>
    <rPh sb="24" eb="26">
      <t>コウゲキ</t>
    </rPh>
    <rPh sb="36" eb="37">
      <t>エ</t>
    </rPh>
    <phoneticPr fontId="1"/>
  </si>
  <si>
    <t>秘儀！　伏せ幻惑ハメ</t>
    <rPh sb="0" eb="2">
      <t>ヒギ</t>
    </rPh>
    <rPh sb="4" eb="5">
      <t>フ</t>
    </rPh>
    <rPh sb="6" eb="8">
      <t>ゲンワク</t>
    </rPh>
    <phoneticPr fontId="1"/>
  </si>
  <si>
    <t>　　突撃不可能なので、敵が間合いも遠隔も持っていないと１ターン休み。</t>
    <rPh sb="2" eb="4">
      <t>トツゲキ</t>
    </rPh>
    <rPh sb="4" eb="7">
      <t>フカノウ</t>
    </rPh>
    <rPh sb="11" eb="12">
      <t>テキ</t>
    </rPh>
    <rPh sb="13" eb="15">
      <t>マア</t>
    </rPh>
    <rPh sb="17" eb="19">
      <t>エンカク</t>
    </rPh>
    <rPh sb="20" eb="21">
      <t>モ</t>
    </rPh>
    <rPh sb="31" eb="32">
      <t>ヤス</t>
    </rPh>
    <phoneticPr fontId="1"/>
  </si>
  <si>
    <t>　　起き上がり不可能なので、敵が間合いも遠隔も持っていないと１ターン、下手すりゃ２ターン休み。</t>
    <rPh sb="2" eb="3">
      <t>オ</t>
    </rPh>
    <rPh sb="4" eb="5">
      <t>ア</t>
    </rPh>
    <rPh sb="7" eb="10">
      <t>フカノウ</t>
    </rPh>
    <rPh sb="14" eb="15">
      <t>テキ</t>
    </rPh>
    <rPh sb="16" eb="18">
      <t>マア</t>
    </rPh>
    <rPh sb="20" eb="22">
      <t>エンカク</t>
    </rPh>
    <rPh sb="23" eb="24">
      <t>モ</t>
    </rPh>
    <rPh sb="35" eb="37">
      <t>ヘタ</t>
    </rPh>
    <rPh sb="44" eb="45">
      <t>ヤス</t>
    </rPh>
    <phoneticPr fontId="1"/>
  </si>
  <si>
    <t>　　間合いや遠隔、近爆持っている場合は、前衛を敵に密着させといた方が良さ気か？</t>
    <rPh sb="2" eb="4">
      <t>マア</t>
    </rPh>
    <rPh sb="6" eb="8">
      <t>エンカク</t>
    </rPh>
    <rPh sb="9" eb="10">
      <t>チカ</t>
    </rPh>
    <rPh sb="10" eb="11">
      <t>バク</t>
    </rPh>
    <rPh sb="11" eb="12">
      <t>モ</t>
    </rPh>
    <rPh sb="16" eb="18">
      <t>バアイ</t>
    </rPh>
    <rPh sb="20" eb="22">
      <t>ゼンエイ</t>
    </rPh>
    <rPh sb="23" eb="24">
      <t>テキ</t>
    </rPh>
    <rPh sb="25" eb="27">
      <t>ミッチャク</t>
    </rPh>
    <rPh sb="32" eb="33">
      <t>ホウ</t>
    </rPh>
    <rPh sb="34" eb="35">
      <t>ヨ</t>
    </rPh>
    <rPh sb="36" eb="37">
      <t>ゲ</t>
    </rPh>
    <phoneticPr fontId="1"/>
  </si>
  <si>
    <t>　　どうせ伏せからは復帰不可能なので、どっちみち伏せ幻惑はかなり有効！</t>
    <rPh sb="5" eb="6">
      <t>フ</t>
    </rPh>
    <rPh sb="10" eb="12">
      <t>フッキ</t>
    </rPh>
    <rPh sb="12" eb="15">
      <t>フカノウ</t>
    </rPh>
    <rPh sb="24" eb="25">
      <t>フ</t>
    </rPh>
    <rPh sb="26" eb="28">
      <t>ゲンワク</t>
    </rPh>
    <rPh sb="32" eb="34">
      <t>ユウコウ</t>
    </rPh>
    <phoneticPr fontId="1"/>
  </si>
  <si>
    <r>
      <t>⑥</t>
    </r>
    <r>
      <rPr>
        <b/>
        <sz val="11"/>
        <color rgb="FFFF0000"/>
        <rFont val="ＭＳ Ｐゴシック"/>
        <family val="3"/>
        <charset val="128"/>
        <scheme val="minor"/>
      </rPr>
      <t>崖っぷちの敵</t>
    </r>
    <r>
      <rPr>
        <sz val="11"/>
        <color theme="1"/>
        <rFont val="ＭＳ Ｐゴシック"/>
        <family val="2"/>
        <charset val="128"/>
        <scheme val="minor"/>
      </rPr>
      <t>に対してヒットさせると、</t>
    </r>
    <r>
      <rPr>
        <b/>
        <sz val="11"/>
        <color rgb="FFFF0000"/>
        <rFont val="ＭＳ Ｐゴシック"/>
        <family val="3"/>
        <charset val="128"/>
        <scheme val="minor"/>
      </rPr>
      <t>最低でも伏せ幻惑</t>
    </r>
    <r>
      <rPr>
        <sz val="11"/>
        <color theme="1"/>
        <rFont val="ＭＳ Ｐゴシック"/>
        <family val="2"/>
        <charset val="128"/>
        <scheme val="minor"/>
      </rPr>
      <t>を狙える！</t>
    </r>
    <rPh sb="1" eb="2">
      <t>ガケ</t>
    </rPh>
    <rPh sb="6" eb="7">
      <t>テキ</t>
    </rPh>
    <rPh sb="8" eb="9">
      <t>タイ</t>
    </rPh>
    <rPh sb="19" eb="21">
      <t>サイテイ</t>
    </rPh>
    <rPh sb="23" eb="24">
      <t>フ</t>
    </rPh>
    <rPh sb="25" eb="27">
      <t>ゲンワク</t>
    </rPh>
    <rPh sb="28" eb="29">
      <t>ネラ</t>
    </rPh>
    <phoneticPr fontId="1"/>
  </si>
  <si>
    <t>①幻惑状態の敵を前衛の２マス先まで離す</t>
    <rPh sb="6" eb="7">
      <t>テキ</t>
    </rPh>
    <rPh sb="8" eb="10">
      <t>ゼンエイ</t>
    </rPh>
    <rPh sb="14" eb="15">
      <t>サキ</t>
    </rPh>
    <rPh sb="17" eb="18">
      <t>ハナ</t>
    </rPh>
    <phoneticPr fontId="1"/>
  </si>
  <si>
    <t>②伏せかつ幻惑状態の敵を前衛の２マス先まで離す</t>
    <rPh sb="1" eb="2">
      <t>フ</t>
    </rPh>
    <rPh sb="5" eb="7">
      <t>ゲンワク</t>
    </rPh>
    <rPh sb="7" eb="9">
      <t>ジョウタイ</t>
    </rPh>
    <rPh sb="10" eb="11">
      <t>テキ</t>
    </rPh>
    <rPh sb="12" eb="14">
      <t>ゼンエイ</t>
    </rPh>
    <rPh sb="18" eb="19">
      <t>サキ</t>
    </rPh>
    <rPh sb="21" eb="22">
      <t>ハナ</t>
    </rPh>
    <phoneticPr fontId="1"/>
  </si>
  <si>
    <t>⑦敵に掴まれた味方をついでに救出可能</t>
    <rPh sb="1" eb="2">
      <t>テキ</t>
    </rPh>
    <rPh sb="3" eb="4">
      <t>ツカ</t>
    </rPh>
    <rPh sb="7" eb="9">
      <t>ミカタ</t>
    </rPh>
    <rPh sb="14" eb="16">
      <t>キュウシュツ</t>
    </rPh>
    <rPh sb="16" eb="18">
      <t>カノウ</t>
    </rPh>
    <phoneticPr fontId="1"/>
  </si>
  <si>
    <t>　　重傷中の敵へのボーナスも活用し易いので基本中の基本。</t>
    <rPh sb="2" eb="4">
      <t>ジュウショウ</t>
    </rPh>
    <rPh sb="4" eb="5">
      <t>チュウ</t>
    </rPh>
    <rPh sb="6" eb="7">
      <t>テキ</t>
    </rPh>
    <rPh sb="14" eb="16">
      <t>カツヨウ</t>
    </rPh>
    <rPh sb="17" eb="18">
      <t>ヤス</t>
    </rPh>
    <rPh sb="21" eb="24">
      <t>キホンチュウ</t>
    </rPh>
    <rPh sb="25" eb="27">
      <t>キホン</t>
    </rPh>
    <phoneticPr fontId="1"/>
  </si>
  <si>
    <t>　　敵が重傷中か否かも集中攻撃も全く重視しない。</t>
    <rPh sb="2" eb="3">
      <t>テキ</t>
    </rPh>
    <rPh sb="4" eb="6">
      <t>ジュウショウ</t>
    </rPh>
    <rPh sb="6" eb="7">
      <t>チュウ</t>
    </rPh>
    <rPh sb="8" eb="9">
      <t>イナ</t>
    </rPh>
    <rPh sb="11" eb="13">
      <t>シュウチュウ</t>
    </rPh>
    <rPh sb="13" eb="15">
      <t>コウゲキ</t>
    </rPh>
    <rPh sb="16" eb="17">
      <t>マッタ</t>
    </rPh>
    <rPh sb="18" eb="20">
      <t>ジュウシ</t>
    </rPh>
    <phoneticPr fontId="1"/>
  </si>
  <si>
    <t>　　リュカオンの仕様上、ダメージがかなり低いので瀕死の敵へのトドメにすら使い辛い。</t>
    <rPh sb="8" eb="10">
      <t>シヨウ</t>
    </rPh>
    <rPh sb="10" eb="11">
      <t>ジョウ</t>
    </rPh>
    <rPh sb="20" eb="21">
      <t>ヒク</t>
    </rPh>
    <rPh sb="24" eb="26">
      <t>ヒンシ</t>
    </rPh>
    <rPh sb="27" eb="28">
      <t>テキ</t>
    </rPh>
    <rPh sb="36" eb="37">
      <t>ツカ</t>
    </rPh>
    <rPh sb="38" eb="39">
      <t>ツラ</t>
    </rPh>
    <phoneticPr fontId="1"/>
  </si>
  <si>
    <t>　　間合いのお陰で雑魚掃除には使い易いが、ただそれだけとも言える。</t>
    <rPh sb="2" eb="4">
      <t>マア</t>
    </rPh>
    <rPh sb="7" eb="8">
      <t>カゲ</t>
    </rPh>
    <rPh sb="9" eb="11">
      <t>ザコ</t>
    </rPh>
    <rPh sb="11" eb="13">
      <t>ソウジ</t>
    </rPh>
    <rPh sb="15" eb="16">
      <t>ツカ</t>
    </rPh>
    <rPh sb="17" eb="18">
      <t>ヤス</t>
    </rPh>
    <rPh sb="29" eb="30">
      <t>イ</t>
    </rPh>
    <phoneticPr fontId="1"/>
  </si>
  <si>
    <t>①（前のターンに）マークしていた雑魚の始末</t>
    <rPh sb="2" eb="3">
      <t>マエ</t>
    </rPh>
    <rPh sb="16" eb="18">
      <t>ザコ</t>
    </rPh>
    <rPh sb="19" eb="21">
      <t>シマツ</t>
    </rPh>
    <phoneticPr fontId="1"/>
  </si>
  <si>
    <t>②疑似押しやりパワー</t>
    <rPh sb="1" eb="3">
      <t>ギジ</t>
    </rPh>
    <rPh sb="3" eb="4">
      <t>オ</t>
    </rPh>
    <phoneticPr fontId="1"/>
  </si>
  <si>
    <t>③隣接中の味方を運ぶ</t>
    <rPh sb="1" eb="3">
      <t>リンセツ</t>
    </rPh>
    <rPh sb="3" eb="4">
      <t>チュウ</t>
    </rPh>
    <rPh sb="5" eb="7">
      <t>ミカタ</t>
    </rPh>
    <rPh sb="8" eb="9">
      <t>ハコ</t>
    </rPh>
    <phoneticPr fontId="1"/>
  </si>
  <si>
    <t>　　間合いのお陰で融通が効くが、ヒット時限定なので確実性には欠ける。</t>
    <rPh sb="2" eb="4">
      <t>マア</t>
    </rPh>
    <rPh sb="7" eb="8">
      <t>カゲ</t>
    </rPh>
    <rPh sb="9" eb="11">
      <t>ユウヅウ</t>
    </rPh>
    <rPh sb="12" eb="13">
      <t>キ</t>
    </rPh>
    <rPh sb="19" eb="20">
      <t>ジ</t>
    </rPh>
    <rPh sb="20" eb="22">
      <t>ゲンテイ</t>
    </rPh>
    <rPh sb="25" eb="28">
      <t>カクジツセイ</t>
    </rPh>
    <rPh sb="30" eb="31">
      <t>カ</t>
    </rPh>
    <phoneticPr fontId="1"/>
  </si>
  <si>
    <t>　　無限回強制移動は便利だが、間合いは活かせないのが残念。</t>
    <rPh sb="2" eb="4">
      <t>ムゲン</t>
    </rPh>
    <rPh sb="4" eb="5">
      <t>カイ</t>
    </rPh>
    <rPh sb="5" eb="7">
      <t>キョウセイ</t>
    </rPh>
    <rPh sb="7" eb="9">
      <t>イドウ</t>
    </rPh>
    <rPh sb="10" eb="12">
      <t>ベンリ</t>
    </rPh>
    <rPh sb="15" eb="17">
      <t>マア</t>
    </rPh>
    <rPh sb="19" eb="20">
      <t>イ</t>
    </rPh>
    <rPh sb="26" eb="28">
      <t>ザンネン</t>
    </rPh>
    <phoneticPr fontId="1"/>
  </si>
  <si>
    <t>　　引き寄せられないだけで、初めから隣接しておけばペナルティ無しで殴る事が可能だ！</t>
    <rPh sb="2" eb="3">
      <t>ヒ</t>
    </rPh>
    <rPh sb="4" eb="5">
      <t>ヨ</t>
    </rPh>
    <rPh sb="14" eb="15">
      <t>ハジ</t>
    </rPh>
    <rPh sb="18" eb="20">
      <t>リンセツ</t>
    </rPh>
    <rPh sb="30" eb="31">
      <t>ナ</t>
    </rPh>
    <rPh sb="33" eb="34">
      <t>ナグ</t>
    </rPh>
    <rPh sb="35" eb="36">
      <t>コト</t>
    </rPh>
    <rPh sb="37" eb="39">
      <t>カノウ</t>
    </rPh>
    <phoneticPr fontId="1"/>
  </si>
  <si>
    <t>①必ず自分に隣接させるように引き寄せ</t>
    <rPh sb="1" eb="2">
      <t>カナラ</t>
    </rPh>
    <rPh sb="3" eb="5">
      <t>ジブン</t>
    </rPh>
    <rPh sb="6" eb="8">
      <t>リンセツ</t>
    </rPh>
    <rPh sb="14" eb="15">
      <t>ヒ</t>
    </rPh>
    <rPh sb="16" eb="17">
      <t>ヨ</t>
    </rPh>
    <phoneticPr fontId="1"/>
  </si>
  <si>
    <t>②実は見えていない敵も攻撃だけは可能</t>
    <rPh sb="1" eb="2">
      <t>ジツ</t>
    </rPh>
    <rPh sb="3" eb="4">
      <t>ミ</t>
    </rPh>
    <rPh sb="9" eb="10">
      <t>テキ</t>
    </rPh>
    <rPh sb="11" eb="13">
      <t>コウゲキ</t>
    </rPh>
    <rPh sb="16" eb="18">
      <t>カノウ</t>
    </rPh>
    <phoneticPr fontId="1"/>
  </si>
  <si>
    <t>④大群クリ―チャ―に対して超効果的</t>
    <rPh sb="1" eb="3">
      <t>タイグン</t>
    </rPh>
    <rPh sb="10" eb="11">
      <t>タイ</t>
    </rPh>
    <rPh sb="13" eb="14">
      <t>チョウ</t>
    </rPh>
    <rPh sb="14" eb="17">
      <t>コウカテキ</t>
    </rPh>
    <phoneticPr fontId="1"/>
  </si>
  <si>
    <t>　　一部の敵だけ引き寄せでは隣接不可能な場合、その敵に関しては１マスも動かせないので注意！</t>
    <rPh sb="2" eb="4">
      <t>イチブ</t>
    </rPh>
    <rPh sb="5" eb="6">
      <t>テキ</t>
    </rPh>
    <rPh sb="8" eb="9">
      <t>ヒ</t>
    </rPh>
    <rPh sb="10" eb="11">
      <t>ヨ</t>
    </rPh>
    <rPh sb="14" eb="16">
      <t>リンセツ</t>
    </rPh>
    <rPh sb="16" eb="19">
      <t>フカノウ</t>
    </rPh>
    <rPh sb="20" eb="22">
      <t>バアイ</t>
    </rPh>
    <rPh sb="25" eb="26">
      <t>テキ</t>
    </rPh>
    <rPh sb="27" eb="28">
      <t>カン</t>
    </rPh>
    <rPh sb="35" eb="36">
      <t>ウゴ</t>
    </rPh>
    <rPh sb="42" eb="44">
      <t>チュウイ</t>
    </rPh>
    <phoneticPr fontId="1"/>
  </si>
  <si>
    <t>　　複雑な地形の遭遇だった場合、まま起きる事なので注意。</t>
    <rPh sb="2" eb="4">
      <t>フクザツ</t>
    </rPh>
    <rPh sb="5" eb="7">
      <t>チケイ</t>
    </rPh>
    <rPh sb="8" eb="10">
      <t>ソウグウ</t>
    </rPh>
    <rPh sb="13" eb="15">
      <t>バアイ</t>
    </rPh>
    <rPh sb="18" eb="19">
      <t>オ</t>
    </rPh>
    <rPh sb="21" eb="22">
      <t>コト</t>
    </rPh>
    <rPh sb="25" eb="27">
      <t>チュウイ</t>
    </rPh>
    <phoneticPr fontId="1"/>
  </si>
  <si>
    <t>　　引き寄せは思った以上に制限がキツい。</t>
    <rPh sb="2" eb="3">
      <t>ヒ</t>
    </rPh>
    <rPh sb="4" eb="5">
      <t>ヨ</t>
    </rPh>
    <rPh sb="7" eb="8">
      <t>オモ</t>
    </rPh>
    <rPh sb="10" eb="12">
      <t>イジョウ</t>
    </rPh>
    <rPh sb="13" eb="15">
      <t>セイゲン</t>
    </rPh>
    <phoneticPr fontId="1"/>
  </si>
  <si>
    <t>③火ダメージは対処され易い？</t>
    <rPh sb="1" eb="2">
      <t>ヒ</t>
    </rPh>
    <rPh sb="7" eb="9">
      <t>タイショ</t>
    </rPh>
    <rPh sb="11" eb="12">
      <t>ヤス</t>
    </rPh>
    <phoneticPr fontId="1"/>
  </si>
  <si>
    <t>　　巨人戦だったら酷い事になっていたが、恐怖の墓所だからまァセーフか・・・。</t>
    <rPh sb="2" eb="4">
      <t>キョジン</t>
    </rPh>
    <rPh sb="9" eb="10">
      <t>ヒド</t>
    </rPh>
    <rPh sb="11" eb="12">
      <t>コト</t>
    </rPh>
    <rPh sb="20" eb="22">
      <t>キョウフ</t>
    </rPh>
    <rPh sb="23" eb="25">
      <t>ボショ</t>
    </rPh>
    <phoneticPr fontId="1"/>
  </si>
  <si>
    <t>⑤引き寄せ直後にマークするのが理想的？</t>
    <rPh sb="1" eb="2">
      <t>ヒ</t>
    </rPh>
    <rPh sb="3" eb="4">
      <t>ヨ</t>
    </rPh>
    <rPh sb="5" eb="7">
      <t>チョクゴ</t>
    </rPh>
    <rPh sb="15" eb="17">
      <t>リソウ</t>
    </rPh>
    <rPh sb="17" eb="18">
      <t>テキ</t>
    </rPh>
    <phoneticPr fontId="1"/>
  </si>
  <si>
    <t>　　APでルアー⇒標準で底力⇒フリーで飛行はセットプレイとして強力。</t>
    <rPh sb="9" eb="11">
      <t>ヒョウジュン</t>
    </rPh>
    <rPh sb="12" eb="13">
      <t>ソコ</t>
    </rPh>
    <rPh sb="13" eb="14">
      <t>チカラ</t>
    </rPh>
    <rPh sb="19" eb="21">
      <t>ヒコウ</t>
    </rPh>
    <rPh sb="31" eb="33">
      <t>キョウリョク</t>
    </rPh>
    <phoneticPr fontId="1"/>
  </si>
  <si>
    <t>　　ヒット時の横滑りでリュカオンから引き離せるし、引き寄せ直後にマークしておくのは有効か。</t>
    <rPh sb="5" eb="6">
      <t>ジ</t>
    </rPh>
    <rPh sb="7" eb="9">
      <t>ヨコスベ</t>
    </rPh>
    <rPh sb="18" eb="19">
      <t>ヒ</t>
    </rPh>
    <rPh sb="20" eb="21">
      <t>ハナ</t>
    </rPh>
    <rPh sb="41" eb="43">
      <t>ユウコウ</t>
    </rPh>
    <phoneticPr fontId="1"/>
  </si>
  <si>
    <t>　　範囲攻撃なので、引き寄せも横滑りも問題無く可能。　攻撃には脆弱性アリ。</t>
    <rPh sb="2" eb="4">
      <t>ハンイ</t>
    </rPh>
    <rPh sb="4" eb="6">
      <t>コウゲキ</t>
    </rPh>
    <rPh sb="10" eb="11">
      <t>ヒ</t>
    </rPh>
    <rPh sb="12" eb="13">
      <t>ヨ</t>
    </rPh>
    <rPh sb="15" eb="17">
      <t>ヨコスベ</t>
    </rPh>
    <rPh sb="19" eb="21">
      <t>モンダイ</t>
    </rPh>
    <rPh sb="21" eb="22">
      <t>ナ</t>
    </rPh>
    <rPh sb="23" eb="25">
      <t>カノウ</t>
    </rPh>
    <rPh sb="27" eb="29">
      <t>コウゲキ</t>
    </rPh>
    <rPh sb="31" eb="34">
      <t>ゼイジャクセイ</t>
    </rPh>
    <phoneticPr fontId="1"/>
  </si>
  <si>
    <r>
      <t>　　特性：使用者は</t>
    </r>
    <r>
      <rPr>
        <b/>
        <sz val="11"/>
        <color rgb="FFFF0000"/>
        <rFont val="ＭＳ Ｐゴシック"/>
        <family val="3"/>
        <charset val="128"/>
        <scheme val="minor"/>
      </rPr>
      <t>1Rに1回</t>
    </r>
    <r>
      <rPr>
        <sz val="11"/>
        <color theme="1"/>
        <rFont val="ＭＳ Ｐゴシック"/>
        <family val="2"/>
        <charset val="128"/>
        <scheme val="minor"/>
      </rPr>
      <t>、</t>
    </r>
    <r>
      <rPr>
        <b/>
        <sz val="11"/>
        <color rgb="FFFF0000"/>
        <rFont val="ＭＳ Ｐゴシック"/>
        <family val="3"/>
        <charset val="128"/>
        <scheme val="minor"/>
      </rPr>
      <t>フリーアクション</t>
    </r>
    <r>
      <rPr>
        <sz val="11"/>
        <color theme="1"/>
        <rFont val="ＭＳ Ｐゴシック"/>
        <family val="2"/>
        <charset val="128"/>
        <scheme val="minor"/>
      </rPr>
      <t>として、</t>
    </r>
    <phoneticPr fontId="1"/>
  </si>
  <si>
    <t>　　　　　　武器を抜くか鞘に収める、またはアイテムを取り出すかしまうかを行える。</t>
    <rPh sb="6" eb="8">
      <t>ブキ</t>
    </rPh>
    <phoneticPr fontId="1"/>
  </si>
  <si>
    <t>※ブラッド・フューリィ・ハンドアックス(宝Ⅱ23)</t>
    <phoneticPr fontId="1"/>
  </si>
  <si>
    <r>
      <t>③フリーアクションで</t>
    </r>
    <r>
      <rPr>
        <b/>
        <sz val="11"/>
        <color rgb="FFFF0000"/>
        <rFont val="ＭＳ Ｐゴシック"/>
        <family val="3"/>
        <charset val="128"/>
        <scheme val="minor"/>
      </rPr>
      <t>ブラッド・フューリィ・ハンドアックス</t>
    </r>
    <r>
      <rPr>
        <b/>
        <sz val="11"/>
        <color theme="1"/>
        <rFont val="ＭＳ Ｐゴシック"/>
        <family val="3"/>
        <charset val="128"/>
        <scheme val="minor"/>
      </rPr>
      <t>をしまう</t>
    </r>
    <phoneticPr fontId="1"/>
  </si>
  <si>
    <t>　　ようやくインチキ重傷発動！　早抜きが欲しくはなる・・・</t>
    <rPh sb="10" eb="12">
      <t>ジュウショウ</t>
    </rPh>
    <rPh sb="12" eb="14">
      <t>ハツドウ</t>
    </rPh>
    <rPh sb="16" eb="17">
      <t>ハヤ</t>
    </rPh>
    <rPh sb="17" eb="18">
      <t>ヌ</t>
    </rPh>
    <rPh sb="20" eb="21">
      <t>ホ</t>
    </rPh>
    <phoneticPr fontId="1"/>
  </si>
  <si>
    <t>　　敵が見当たらないならば、ロングトゥース・シフティングもアリか？　その場合、殿を務める事に</t>
    <rPh sb="2" eb="3">
      <t>テキ</t>
    </rPh>
    <rPh sb="4" eb="6">
      <t>ミア</t>
    </rPh>
    <rPh sb="36" eb="38">
      <t>バアイ</t>
    </rPh>
    <rPh sb="39" eb="40">
      <t>シンガリ</t>
    </rPh>
    <rPh sb="41" eb="42">
      <t>ツト</t>
    </rPh>
    <rPh sb="44" eb="45">
      <t>コト</t>
    </rPh>
    <phoneticPr fontId="1"/>
  </si>
  <si>
    <r>
      <t>①遭遇開始時にスピアとハンドアックスの</t>
    </r>
    <r>
      <rPr>
        <b/>
        <sz val="11"/>
        <color rgb="FFFF0000"/>
        <rFont val="ＭＳ Ｐゴシック"/>
        <family val="3"/>
        <charset val="128"/>
        <scheme val="minor"/>
      </rPr>
      <t>なんちゃって二刀流</t>
    </r>
    <r>
      <rPr>
        <b/>
        <sz val="11"/>
        <color theme="1"/>
        <rFont val="ＭＳ Ｐゴシック"/>
        <family val="3"/>
        <charset val="128"/>
        <scheme val="minor"/>
      </rPr>
      <t>でスタート</t>
    </r>
    <rPh sb="1" eb="3">
      <t>ソウグウ</t>
    </rPh>
    <rPh sb="3" eb="5">
      <t>カイシ</t>
    </rPh>
    <rPh sb="5" eb="6">
      <t>ジ</t>
    </rPh>
    <rPh sb="25" eb="28">
      <t>ニトウリュウ</t>
    </rPh>
    <phoneticPr fontId="1"/>
  </si>
  <si>
    <t>　　万が一トラブルが発生しても腕アイテムでハンドアックスをいつでもしまえる</t>
    <rPh sb="2" eb="3">
      <t>マン</t>
    </rPh>
    <rPh sb="4" eb="5">
      <t>イチ</t>
    </rPh>
    <rPh sb="10" eb="12">
      <t>ハッセイ</t>
    </rPh>
    <phoneticPr fontId="1"/>
  </si>
  <si>
    <r>
      <t>②自分のターンが来たらマイナーアクションで</t>
    </r>
    <r>
      <rPr>
        <b/>
        <sz val="11"/>
        <color rgb="FFFF0000"/>
        <rFont val="ＭＳ Ｐゴシック"/>
        <family val="3"/>
        <charset val="128"/>
        <scheme val="minor"/>
      </rPr>
      <t>ブラッド・フューリィ・ハンドアックス</t>
    </r>
    <r>
      <rPr>
        <b/>
        <sz val="11"/>
        <color theme="1"/>
        <rFont val="ＭＳ Ｐゴシック"/>
        <family val="3"/>
        <charset val="128"/>
        <scheme val="minor"/>
      </rPr>
      <t>を使用</t>
    </r>
    <rPh sb="1" eb="3">
      <t>ジブン</t>
    </rPh>
    <rPh sb="8" eb="9">
      <t>キ</t>
    </rPh>
    <rPh sb="40" eb="42">
      <t>シヨウ</t>
    </rPh>
    <phoneticPr fontId="1"/>
  </si>
  <si>
    <t>※《武芸百般》(墜256)</t>
    <phoneticPr fontId="1"/>
  </si>
  <si>
    <t>　　利益：君は1回のマイナーアクションとして、“武器を1つ鞘に収めた後、武器を1つ抜く”ことができる。</t>
    <rPh sb="2" eb="4">
      <t>リエキ</t>
    </rPh>
    <phoneticPr fontId="1"/>
  </si>
  <si>
    <r>
      <t>④マイナーアクションで</t>
    </r>
    <r>
      <rPr>
        <b/>
        <sz val="11"/>
        <color rgb="FFFF0000"/>
        <rFont val="ＭＳ Ｐゴシック"/>
        <family val="3"/>
        <charset val="128"/>
        <scheme val="minor"/>
      </rPr>
      <t>ロングトゥース・シフティング</t>
    </r>
    <r>
      <rPr>
        <b/>
        <sz val="11"/>
        <color theme="1"/>
        <rFont val="ＭＳ Ｐゴシック"/>
        <family val="3"/>
        <charset val="128"/>
        <scheme val="minor"/>
      </rPr>
      <t>を使用</t>
    </r>
    <rPh sb="26" eb="28">
      <t>シヨウ</t>
    </rPh>
    <phoneticPr fontId="1"/>
  </si>
  <si>
    <t>⑤標準アクションで攻撃</t>
    <rPh sb="1" eb="3">
      <t>ヒョウジュン</t>
    </rPh>
    <rPh sb="9" eb="11">
      <t>コウゲキ</t>
    </rPh>
    <phoneticPr fontId="1"/>
  </si>
  <si>
    <t>第一ターン行動手順　パターンA</t>
    <rPh sb="0" eb="2">
      <t>ダイイチ</t>
    </rPh>
    <rPh sb="5" eb="7">
      <t>コウドウ</t>
    </rPh>
    <rPh sb="7" eb="9">
      <t>テジュン</t>
    </rPh>
    <phoneticPr fontId="1"/>
  </si>
  <si>
    <t>第一ターン行動手順　パターンB</t>
    <rPh sb="0" eb="2">
      <t>ダイイチ</t>
    </rPh>
    <rPh sb="5" eb="7">
      <t>コウドウ</t>
    </rPh>
    <rPh sb="7" eb="9">
      <t>テジュン</t>
    </rPh>
    <phoneticPr fontId="1"/>
  </si>
  <si>
    <r>
      <t>②マイナーアクションで</t>
    </r>
    <r>
      <rPr>
        <b/>
        <sz val="11"/>
        <color rgb="FFFF0000"/>
        <rFont val="ＭＳ Ｐゴシック"/>
        <family val="3"/>
        <charset val="128"/>
        <scheme val="minor"/>
      </rPr>
      <t>ブラッド・フューリィ・ハンドアックス</t>
    </r>
    <r>
      <rPr>
        <b/>
        <sz val="11"/>
        <color theme="1"/>
        <rFont val="ＭＳ Ｐゴシック"/>
        <family val="3"/>
        <charset val="128"/>
        <scheme val="minor"/>
      </rPr>
      <t>を取り出す</t>
    </r>
    <rPh sb="30" eb="31">
      <t>ト</t>
    </rPh>
    <rPh sb="32" eb="33">
      <t>ダ</t>
    </rPh>
    <phoneticPr fontId="1"/>
  </si>
  <si>
    <r>
      <t>③マイナーアクションで</t>
    </r>
    <r>
      <rPr>
        <b/>
        <sz val="11"/>
        <color rgb="FFFF0000"/>
        <rFont val="ＭＳ Ｐゴシック"/>
        <family val="3"/>
        <charset val="128"/>
        <scheme val="minor"/>
      </rPr>
      <t>ブラッド・フューリィ・ハンドアックス</t>
    </r>
    <r>
      <rPr>
        <b/>
        <sz val="11"/>
        <color theme="1"/>
        <rFont val="ＭＳ Ｐゴシック"/>
        <family val="3"/>
        <charset val="128"/>
        <scheme val="minor"/>
      </rPr>
      <t>を使用</t>
    </r>
    <rPh sb="30" eb="32">
      <t>シヨウ</t>
    </rPh>
    <phoneticPr fontId="1"/>
  </si>
  <si>
    <r>
      <t>④フリーアクションで</t>
    </r>
    <r>
      <rPr>
        <b/>
        <sz val="11"/>
        <color rgb="FFFF0000"/>
        <rFont val="ＭＳ Ｐゴシック"/>
        <family val="3"/>
        <charset val="128"/>
        <scheme val="minor"/>
      </rPr>
      <t>ブラッド・フューリィ・ハンドアックス</t>
    </r>
    <r>
      <rPr>
        <b/>
        <sz val="11"/>
        <color theme="1"/>
        <rFont val="ＭＳ Ｐゴシック"/>
        <family val="3"/>
        <charset val="128"/>
        <scheme val="minor"/>
      </rPr>
      <t>をしまう</t>
    </r>
    <phoneticPr fontId="1"/>
  </si>
  <si>
    <t>　　何らかのトラブルが発生して、腕アイテムでハンドアックスをしまった状態</t>
    <rPh sb="2" eb="3">
      <t>ナン</t>
    </rPh>
    <rPh sb="11" eb="13">
      <t>ハッセイ</t>
    </rPh>
    <rPh sb="34" eb="36">
      <t>ジョウタイ</t>
    </rPh>
    <phoneticPr fontId="1"/>
  </si>
  <si>
    <t>①ターン開始時にスピアだけを持っている</t>
    <rPh sb="4" eb="6">
      <t>カイシ</t>
    </rPh>
    <rPh sb="6" eb="7">
      <t>ジ</t>
    </rPh>
    <rPh sb="14" eb="15">
      <t>モ</t>
    </rPh>
    <phoneticPr fontId="1"/>
  </si>
  <si>
    <t>　　いきなりインチキ重傷発動！　オテギヌと違って早抜きが無いハンデを補う</t>
    <rPh sb="10" eb="12">
      <t>ジュウショウ</t>
    </rPh>
    <rPh sb="12" eb="14">
      <t>ハツドウ</t>
    </rPh>
    <rPh sb="21" eb="22">
      <t>チガ</t>
    </rPh>
    <rPh sb="24" eb="25">
      <t>ハヤ</t>
    </rPh>
    <rPh sb="25" eb="26">
      <t>ヌ</t>
    </rPh>
    <rPh sb="28" eb="29">
      <t>ナ</t>
    </rPh>
    <rPh sb="34" eb="35">
      <t>オギナ</t>
    </rPh>
    <phoneticPr fontId="1"/>
  </si>
  <si>
    <t>　　腕アイテムの効果は自分のターンでなくても使用可能なので非常事態が起きても融通が効く</t>
    <rPh sb="2" eb="3">
      <t>ウデ</t>
    </rPh>
    <rPh sb="8" eb="10">
      <t>コウカ</t>
    </rPh>
    <rPh sb="11" eb="13">
      <t>ジブン</t>
    </rPh>
    <rPh sb="22" eb="24">
      <t>シヨウ</t>
    </rPh>
    <rPh sb="24" eb="26">
      <t>カノウ</t>
    </rPh>
    <rPh sb="29" eb="31">
      <t>ヒジョウ</t>
    </rPh>
    <rPh sb="31" eb="33">
      <t>ジタイ</t>
    </rPh>
    <rPh sb="34" eb="35">
      <t>オ</t>
    </rPh>
    <rPh sb="38" eb="40">
      <t>ユウヅウ</t>
    </rPh>
    <rPh sb="41" eb="42">
      <t>キ</t>
    </rPh>
    <phoneticPr fontId="1"/>
  </si>
  <si>
    <t>　　次のターン開始時には確実に再生を貰えるのが売り</t>
    <rPh sb="2" eb="3">
      <t>ツギ</t>
    </rPh>
    <rPh sb="7" eb="9">
      <t>カイシ</t>
    </rPh>
    <rPh sb="9" eb="10">
      <t>ジ</t>
    </rPh>
    <rPh sb="12" eb="14">
      <t>カクジツ</t>
    </rPh>
    <rPh sb="15" eb="17">
      <t>サイセイ</t>
    </rPh>
    <rPh sb="18" eb="19">
      <t>モラ</t>
    </rPh>
    <rPh sb="23" eb="24">
      <t>ウ</t>
    </rPh>
    <phoneticPr fontId="1"/>
  </si>
  <si>
    <t>⑤標準アクションで攻撃　（スピアをしまってハンドアックスを投げるパターンも？）</t>
    <rPh sb="1" eb="3">
      <t>ヒョウジュン</t>
    </rPh>
    <rPh sb="9" eb="11">
      <t>コウゲキ</t>
    </rPh>
    <rPh sb="29" eb="30">
      <t>ナ</t>
    </rPh>
    <phoneticPr fontId="1"/>
  </si>
  <si>
    <t>　　万が一トラブルが発生してもハンドアックスをしまえるように、まだ腕アイテムは温存</t>
    <rPh sb="2" eb="3">
      <t>マン</t>
    </rPh>
    <rPh sb="4" eb="5">
      <t>イチ</t>
    </rPh>
    <rPh sb="10" eb="12">
      <t>ハッセイ</t>
    </rPh>
    <rPh sb="33" eb="34">
      <t>ウデ</t>
    </rPh>
    <rPh sb="39" eb="41">
      <t>オンゾン</t>
    </rPh>
    <phoneticPr fontId="1"/>
  </si>
  <si>
    <t>　　腕アイテムの使用回数は自分のターン開始時に回復済みなので使用可能</t>
    <rPh sb="2" eb="3">
      <t>ウデ</t>
    </rPh>
    <rPh sb="8" eb="10">
      <t>シヨウ</t>
    </rPh>
    <rPh sb="10" eb="12">
      <t>カイスウ</t>
    </rPh>
    <rPh sb="13" eb="15">
      <t>ジブン</t>
    </rPh>
    <rPh sb="19" eb="21">
      <t>カイシ</t>
    </rPh>
    <rPh sb="21" eb="22">
      <t>ジ</t>
    </rPh>
    <rPh sb="23" eb="25">
      <t>カイフク</t>
    </rPh>
    <rPh sb="25" eb="26">
      <t>ズ</t>
    </rPh>
    <rPh sb="30" eb="32">
      <t>シヨウ</t>
    </rPh>
    <rPh sb="32" eb="34">
      <t>カノウ</t>
    </rPh>
    <phoneticPr fontId="1"/>
  </si>
  <si>
    <t>基本はパターンAだが、トラブルが起きた場合、パターンBへ移行</t>
    <rPh sb="0" eb="2">
      <t>キホン</t>
    </rPh>
    <rPh sb="16" eb="17">
      <t>オ</t>
    </rPh>
    <rPh sb="19" eb="21">
      <t>バアイ</t>
    </rPh>
    <rPh sb="28" eb="30">
      <t>イコウ</t>
    </rPh>
    <phoneticPr fontId="1"/>
  </si>
  <si>
    <t>ダイヤモンド・ディフェンス・アソールト</t>
    <phoneticPr fontId="1"/>
  </si>
  <si>
    <t>ボーナス</t>
    <phoneticPr fontId="1"/>
  </si>
  <si>
    <t>ＡＣ</t>
    <phoneticPr fontId="1"/>
  </si>
  <si>
    <t>+4</t>
    <phoneticPr fontId="1"/>
  </si>
  <si>
    <t>インサイトフル・コマンド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</si>
</sst>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63">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b/>
      <sz val="10"/>
      <name val="ＭＳ Ｐゴシック"/>
      <family val="3"/>
      <charset val="128"/>
      <scheme val="minor"/>
    </font>
    <font>
      <b/>
      <sz val="11"/>
      <name val="ＭＳ Ｐゴシック"/>
      <family val="3"/>
      <charset val="128"/>
      <scheme val="minor"/>
    </font>
    <font>
      <b/>
      <sz val="11"/>
      <color theme="0"/>
      <name val="ＭＳ Ｐゴシック"/>
      <family val="3"/>
      <charset val="128"/>
      <scheme val="minor"/>
    </font>
    <font>
      <sz val="14"/>
      <color theme="0"/>
      <name val="ＭＳ Ｐゴシック"/>
      <family val="2"/>
      <charset val="128"/>
      <scheme val="minor"/>
    </font>
    <font>
      <b/>
      <sz val="18"/>
      <color theme="0"/>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b/>
      <sz val="14"/>
      <color rgb="FFFF0000"/>
      <name val="ＭＳ Ｐゴシック"/>
      <family val="3"/>
      <charset val="128"/>
      <scheme val="minor"/>
    </font>
    <font>
      <b/>
      <sz val="8"/>
      <color theme="1"/>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b/>
      <sz val="12"/>
      <color theme="1"/>
      <name val="ＭＳ Ｐゴシック"/>
      <family val="3"/>
      <charset val="128"/>
      <scheme val="minor"/>
    </font>
    <font>
      <b/>
      <sz val="11"/>
      <name val="ＭＳ Ｐゴシック"/>
      <family val="2"/>
      <charset val="128"/>
      <scheme val="minor"/>
    </font>
    <font>
      <sz val="11"/>
      <name val="ＭＳ Ｐゴシック"/>
      <family val="3"/>
      <charset val="128"/>
      <scheme val="minor"/>
    </font>
    <font>
      <b/>
      <sz val="11"/>
      <color rgb="FFFF0000"/>
      <name val="ＭＳ Ｐゴシック"/>
      <family val="3"/>
      <charset val="128"/>
      <scheme val="minor"/>
    </font>
    <font>
      <sz val="14"/>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scheme val="minor"/>
    </font>
    <font>
      <sz val="12"/>
      <name val="ＭＳ Ｐゴシック"/>
      <family val="3"/>
      <charset val="128"/>
      <scheme val="minor"/>
    </font>
    <font>
      <b/>
      <sz val="10"/>
      <color theme="1"/>
      <name val="ＭＳ Ｐゴシック"/>
      <family val="3"/>
      <charset val="128"/>
      <scheme val="minor"/>
    </font>
    <font>
      <b/>
      <sz val="11"/>
      <color theme="4" tint="-0.249977111117893"/>
      <name val="ＭＳ Ｐゴシック"/>
      <family val="3"/>
      <charset val="128"/>
      <scheme val="minor"/>
    </font>
    <font>
      <b/>
      <sz val="9"/>
      <color theme="0"/>
      <name val="ＭＳ Ｐゴシック"/>
      <family val="3"/>
      <charset val="128"/>
      <scheme val="minor"/>
    </font>
    <font>
      <sz val="12"/>
      <color theme="1"/>
      <name val="HGPｺﾞｼｯｸE"/>
      <family val="3"/>
      <charset val="128"/>
    </font>
    <font>
      <sz val="14"/>
      <color rgb="FFFF0000"/>
      <name val="HGPｺﾞｼｯｸE"/>
      <family val="3"/>
      <charset val="128"/>
    </font>
    <font>
      <b/>
      <sz val="14"/>
      <color rgb="FFFF0000"/>
      <name val="HGP創英角ﾎﾟｯﾌﾟ体"/>
      <family val="3"/>
      <charset val="128"/>
    </font>
    <font>
      <b/>
      <sz val="16"/>
      <color rgb="FFFF0000"/>
      <name val="HGP創英角ﾎﾟｯﾌﾟ体"/>
      <family val="3"/>
      <charset val="128"/>
    </font>
    <font>
      <sz val="9"/>
      <color indexed="81"/>
      <name val="ＭＳ Ｐゴシック"/>
      <family val="3"/>
      <charset val="128"/>
    </font>
    <font>
      <b/>
      <sz val="9"/>
      <color indexed="81"/>
      <name val="ＭＳ Ｐゴシック"/>
      <family val="3"/>
      <charset val="128"/>
    </font>
    <font>
      <b/>
      <sz val="12"/>
      <name val="ＭＳ Ｐゴシック"/>
      <family val="3"/>
      <charset val="128"/>
      <scheme val="minor"/>
    </font>
    <font>
      <sz val="6"/>
      <name val="ＭＳ Ｐゴシック"/>
      <family val="3"/>
      <charset val="128"/>
    </font>
    <font>
      <b/>
      <sz val="16"/>
      <color rgb="FFFF0000"/>
      <name val="ＭＳ Ｐゴシック"/>
      <family val="3"/>
      <charset val="128"/>
      <scheme val="minor"/>
    </font>
    <font>
      <b/>
      <sz val="20"/>
      <color rgb="FFFF0000"/>
      <name val="ＭＳ Ｐゴシック"/>
      <family val="3"/>
      <charset val="128"/>
      <scheme val="minor"/>
    </font>
    <font>
      <b/>
      <sz val="16"/>
      <color theme="0"/>
      <name val="ＭＳ Ｐゴシック"/>
      <family val="3"/>
      <charset val="128"/>
      <scheme val="minor"/>
    </font>
    <font>
      <b/>
      <sz val="12"/>
      <color theme="0"/>
      <name val="ＭＳ Ｐゴシック"/>
      <family val="3"/>
      <charset val="128"/>
      <scheme val="minor"/>
    </font>
    <font>
      <b/>
      <sz val="22"/>
      <color rgb="FFFF0000"/>
      <name val="ＭＳ Ｐゴシック"/>
      <family val="3"/>
      <charset val="128"/>
      <scheme val="minor"/>
    </font>
    <font>
      <b/>
      <sz val="18"/>
      <color rgb="FFFF0000"/>
      <name val="ＭＳ Ｐゴシック"/>
      <family val="3"/>
      <charset val="128"/>
      <scheme val="minor"/>
    </font>
    <font>
      <b/>
      <sz val="10"/>
      <color rgb="FFFF0000"/>
      <name val="ＭＳ Ｐゴシック"/>
      <family val="3"/>
      <charset val="128"/>
      <scheme val="minor"/>
    </font>
    <font>
      <b/>
      <sz val="9"/>
      <color rgb="FFFF0000"/>
      <name val="ＭＳ Ｐゴシック"/>
      <family val="3"/>
      <charset val="128"/>
      <scheme val="minor"/>
    </font>
    <font>
      <b/>
      <sz val="14"/>
      <color theme="0"/>
      <name val="ＭＳ Ｐゴシック"/>
      <family val="3"/>
      <charset val="128"/>
      <scheme val="minor"/>
    </font>
    <font>
      <b/>
      <sz val="20"/>
      <color theme="1"/>
      <name val="ＭＳ Ｐゴシック"/>
      <family val="3"/>
      <charset val="128"/>
      <scheme val="minor"/>
    </font>
    <font>
      <b/>
      <sz val="20"/>
      <name val="ＭＳ Ｐゴシック"/>
      <family val="3"/>
      <charset val="128"/>
      <scheme val="minor"/>
    </font>
    <font>
      <b/>
      <sz val="18"/>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8"/>
      <color rgb="FFFF0000"/>
      <name val="ＭＳ Ｐゴシック"/>
      <family val="2"/>
      <charset val="128"/>
      <scheme val="minor"/>
    </font>
    <font>
      <b/>
      <sz val="14"/>
      <color theme="1"/>
      <name val="ＭＳ Ｐゴシック"/>
      <family val="3"/>
      <charset val="128"/>
      <scheme val="minor"/>
    </font>
    <font>
      <b/>
      <sz val="20"/>
      <color theme="0"/>
      <name val="ＭＳ Ｐゴシック"/>
      <family val="3"/>
      <charset val="128"/>
      <scheme val="minor"/>
    </font>
    <font>
      <sz val="12"/>
      <color theme="0"/>
      <name val="ＭＳ Ｐゴシック"/>
      <family val="3"/>
      <charset val="128"/>
      <scheme val="minor"/>
    </font>
    <font>
      <sz val="11"/>
      <color theme="1"/>
      <name val="ＭＳ Ｐゴシック"/>
      <family val="2"/>
      <charset val="128"/>
      <scheme val="minor"/>
    </font>
    <font>
      <sz val="16"/>
      <color theme="1"/>
      <name val="ＭＳ Ｐゴシック"/>
      <family val="2"/>
      <charset val="128"/>
      <scheme val="minor"/>
    </font>
    <font>
      <sz val="9"/>
      <color theme="1"/>
      <name val="ＭＳ Ｐゴシック"/>
      <family val="3"/>
      <charset val="128"/>
      <scheme val="minor"/>
    </font>
    <font>
      <sz val="14"/>
      <color theme="0"/>
      <name val="ＭＳ Ｐゴシック"/>
      <family val="3"/>
      <charset val="128"/>
      <scheme val="minor"/>
    </font>
    <font>
      <sz val="12"/>
      <color theme="0"/>
      <name val="ＭＳ Ｐゴシック"/>
      <family val="2"/>
      <charset val="128"/>
      <scheme val="minor"/>
    </font>
    <font>
      <b/>
      <sz val="24"/>
      <color theme="1"/>
      <name val="ＭＳ Ｐゴシック"/>
      <family val="3"/>
      <charset val="128"/>
      <scheme val="minor"/>
    </font>
    <font>
      <b/>
      <sz val="16"/>
      <color theme="3" tint="0.39997558519241921"/>
      <name val="HGP創英ﾌﾟﾚｾﾞﾝｽEB"/>
      <family val="1"/>
      <charset val="128"/>
    </font>
    <font>
      <b/>
      <sz val="11"/>
      <color theme="3" tint="0.39997558519241921"/>
      <name val="ＭＳ Ｐゴシック"/>
      <family val="3"/>
      <charset val="128"/>
      <scheme val="minor"/>
    </font>
    <font>
      <sz val="10"/>
      <color theme="0"/>
      <name val="ＭＳ Ｐゴシック"/>
      <family val="2"/>
      <charset val="128"/>
      <scheme val="minor"/>
    </font>
    <font>
      <sz val="10"/>
      <color theme="0"/>
      <name val="ＭＳ Ｐゴシック"/>
      <family val="3"/>
      <charset val="128"/>
      <scheme val="minor"/>
    </font>
    <font>
      <b/>
      <sz val="18"/>
      <color rgb="FFFF0000"/>
      <name val="HGP創英ﾌﾟﾚｾﾞﾝｽEB"/>
      <family val="1"/>
      <charset val="128"/>
    </font>
    <font>
      <sz val="8"/>
      <color theme="1"/>
      <name val="ＭＳ Ｐゴシック"/>
      <family val="2"/>
      <charset val="128"/>
      <scheme val="minor"/>
    </font>
  </fonts>
  <fills count="34">
    <fill>
      <patternFill patternType="none"/>
    </fill>
    <fill>
      <patternFill patternType="gray125"/>
    </fill>
    <fill>
      <patternFill patternType="solid">
        <fgColor theme="5" tint="-0.249977111117893"/>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rgb="FFFFFF00"/>
        <bgColor indexed="64"/>
      </patternFill>
    </fill>
    <fill>
      <patternFill patternType="solid">
        <fgColor rgb="FF008000"/>
        <bgColor indexed="64"/>
      </patternFill>
    </fill>
    <fill>
      <patternFill patternType="solid">
        <fgColor theme="9" tint="0.59996337778862885"/>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A61D0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rgb="FFFF000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rgb="FF0070C0"/>
        <bgColor indexed="64"/>
      </patternFill>
    </fill>
    <fill>
      <patternFill patternType="solid">
        <fgColor rgb="FFC0000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00B050"/>
        <bgColor indexed="64"/>
      </patternFill>
    </fill>
    <fill>
      <patternFill patternType="solid">
        <fgColor theme="9" tint="0.79998168889431442"/>
        <bgColor indexed="64"/>
      </patternFill>
    </fill>
    <fill>
      <patternFill patternType="solid">
        <fgColor rgb="FF92D050"/>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C000"/>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thin">
        <color indexed="64"/>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top/>
      <bottom style="hair">
        <color auto="1"/>
      </bottom>
      <diagonal/>
    </border>
    <border>
      <left style="thin">
        <color indexed="64"/>
      </left>
      <right/>
      <top style="thin">
        <color indexed="64"/>
      </top>
      <bottom style="hair">
        <color indexed="64"/>
      </bottom>
      <diagonal/>
    </border>
    <border>
      <left/>
      <right style="hair">
        <color auto="1"/>
      </right>
      <top style="thin">
        <color indexed="64"/>
      </top>
      <bottom style="hair">
        <color auto="1"/>
      </bottom>
      <diagonal/>
    </border>
    <border>
      <left/>
      <right/>
      <top style="hair">
        <color auto="1"/>
      </top>
      <bottom style="thin">
        <color indexed="64"/>
      </bottom>
      <diagonal/>
    </border>
    <border>
      <left style="thin">
        <color indexed="64"/>
      </left>
      <right/>
      <top style="hair">
        <color auto="1"/>
      </top>
      <bottom style="thin">
        <color indexed="64"/>
      </bottom>
      <diagonal/>
    </border>
    <border>
      <left style="hair">
        <color indexed="64"/>
      </left>
      <right style="hair">
        <color indexed="64"/>
      </right>
      <top style="thin">
        <color indexed="64"/>
      </top>
      <bottom/>
      <diagonal/>
    </border>
    <border>
      <left style="hair">
        <color auto="1"/>
      </left>
      <right/>
      <top style="thin">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auto="1"/>
      </bottom>
      <diagonal/>
    </border>
    <border>
      <left style="thin">
        <color indexed="64"/>
      </left>
      <right/>
      <top/>
      <bottom style="hair">
        <color indexed="64"/>
      </bottom>
      <diagonal/>
    </border>
    <border>
      <left/>
      <right style="thin">
        <color indexed="64"/>
      </right>
      <top/>
      <bottom style="hair">
        <color auto="1"/>
      </bottom>
      <diagonal/>
    </border>
    <border>
      <left style="hair">
        <color auto="1"/>
      </left>
      <right/>
      <top style="hair">
        <color auto="1"/>
      </top>
      <bottom style="thin">
        <color indexed="64"/>
      </bottom>
      <diagonal/>
    </border>
    <border>
      <left/>
      <right style="thin">
        <color indexed="64"/>
      </right>
      <top style="hair">
        <color auto="1"/>
      </top>
      <bottom style="thin">
        <color indexed="64"/>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hair">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bottom style="medium">
        <color indexed="64"/>
      </bottom>
      <diagonal/>
    </border>
  </borders>
  <cellStyleXfs count="12">
    <xf numFmtId="0" fontId="0" fillId="0" borderId="0">
      <alignment vertical="center"/>
    </xf>
    <xf numFmtId="0" fontId="13" fillId="0" borderId="0">
      <alignment vertical="center"/>
    </xf>
    <xf numFmtId="0" fontId="13" fillId="0" borderId="0">
      <alignment vertical="center"/>
    </xf>
    <xf numFmtId="0" fontId="51" fillId="0" borderId="0">
      <alignment vertical="center"/>
    </xf>
    <xf numFmtId="0" fontId="51" fillId="0" borderId="0">
      <alignment vertical="center"/>
    </xf>
    <xf numFmtId="0" fontId="13"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cellStyleXfs>
  <cellXfs count="670">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Font="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lignment vertical="center"/>
    </xf>
    <xf numFmtId="0" fontId="0" fillId="9" borderId="1" xfId="0" applyFill="1" applyBorder="1">
      <alignment vertical="center"/>
    </xf>
    <xf numFmtId="0" fontId="0" fillId="9" borderId="2" xfId="0" applyFill="1" applyBorder="1">
      <alignment vertical="center"/>
    </xf>
    <xf numFmtId="0" fontId="6" fillId="6" borderId="1" xfId="0" applyFont="1" applyFill="1" applyBorder="1" applyAlignment="1">
      <alignment horizontal="center" vertical="center"/>
    </xf>
    <xf numFmtId="0" fontId="7" fillId="6" borderId="1" xfId="0" applyFont="1" applyFill="1" applyBorder="1" applyAlignment="1">
      <alignment horizontal="center" vertical="center"/>
    </xf>
    <xf numFmtId="0" fontId="8" fillId="6" borderId="1" xfId="0" applyFont="1" applyFill="1" applyBorder="1" applyAlignment="1">
      <alignment horizontal="center" vertical="center"/>
    </xf>
    <xf numFmtId="0" fontId="2" fillId="0" borderId="0" xfId="0" applyFont="1" applyAlignment="1">
      <alignment horizontal="left" vertical="center"/>
    </xf>
    <xf numFmtId="0" fontId="12" fillId="11" borderId="1" xfId="0" applyFont="1" applyFill="1" applyBorder="1" applyAlignment="1">
      <alignment horizontal="center" vertical="center"/>
    </xf>
    <xf numFmtId="0" fontId="9" fillId="0" borderId="0" xfId="0" applyFont="1" applyAlignment="1">
      <alignment horizontal="right" vertical="center"/>
    </xf>
    <xf numFmtId="0" fontId="9" fillId="0" borderId="0" xfId="0" applyFont="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0" fillId="12" borderId="1" xfId="0" applyFill="1" applyBorder="1">
      <alignment vertical="center"/>
    </xf>
    <xf numFmtId="0" fontId="9" fillId="0" borderId="0" xfId="0" applyFont="1" applyAlignment="1">
      <alignment horizontal="left" vertical="center"/>
    </xf>
    <xf numFmtId="0" fontId="0" fillId="0" borderId="1" xfId="0" applyBorder="1" applyAlignment="1">
      <alignment horizontal="center" vertical="center"/>
    </xf>
    <xf numFmtId="0" fontId="6" fillId="6" borderId="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7" fillId="6" borderId="1" xfId="0" applyFont="1" applyFill="1" applyBorder="1" applyAlignment="1">
      <alignment horizontal="center" vertical="center" shrinkToFit="1"/>
    </xf>
    <xf numFmtId="0" fontId="0" fillId="0" borderId="0" xfId="0" applyAlignment="1">
      <alignment horizontal="center" vertical="center"/>
    </xf>
    <xf numFmtId="0" fontId="0" fillId="9" borderId="1" xfId="0" applyFill="1" applyBorder="1" applyAlignment="1">
      <alignment horizontal="center" vertical="center"/>
    </xf>
    <xf numFmtId="0" fontId="9" fillId="0" borderId="0" xfId="0" applyFont="1" applyAlignment="1">
      <alignment horizontal="left" vertical="center"/>
    </xf>
    <xf numFmtId="0" fontId="2" fillId="0" borderId="0" xfId="0" applyFont="1" applyAlignment="1">
      <alignment horizontal="left" vertical="center"/>
    </xf>
    <xf numFmtId="0" fontId="12" fillId="11" borderId="1" xfId="0" applyFont="1" applyFill="1" applyBorder="1" applyAlignment="1">
      <alignment horizontal="center" vertical="center"/>
    </xf>
    <xf numFmtId="0" fontId="0" fillId="9" borderId="11" xfId="0" applyFill="1" applyBorder="1" applyAlignment="1">
      <alignment horizontal="center" vertical="center"/>
    </xf>
    <xf numFmtId="0" fontId="0" fillId="9" borderId="2" xfId="0" applyFill="1" applyBorder="1" applyAlignment="1">
      <alignment horizontal="center" vertical="center"/>
    </xf>
    <xf numFmtId="0" fontId="0" fillId="0" borderId="18" xfId="0" applyBorder="1" applyAlignment="1">
      <alignment horizontal="center" vertical="center"/>
    </xf>
    <xf numFmtId="0" fontId="6" fillId="13" borderId="1" xfId="0" applyFont="1" applyFill="1" applyBorder="1" applyAlignment="1">
      <alignment horizontal="center" vertical="center" shrinkToFit="1"/>
    </xf>
    <xf numFmtId="0" fontId="8" fillId="13" borderId="1" xfId="0" applyFont="1" applyFill="1" applyBorder="1" applyAlignment="1">
      <alignment horizontal="center" vertical="center" shrinkToFit="1"/>
    </xf>
    <xf numFmtId="0" fontId="7" fillId="13" borderId="1" xfId="0" applyFont="1" applyFill="1" applyBorder="1" applyAlignment="1">
      <alignment horizontal="center" vertical="center" shrinkToFit="1"/>
    </xf>
    <xf numFmtId="0" fontId="6" fillId="13" borderId="1" xfId="0" applyFont="1" applyFill="1" applyBorder="1" applyAlignment="1">
      <alignment horizontal="center" vertical="center"/>
    </xf>
    <xf numFmtId="0" fontId="8" fillId="13" borderId="1" xfId="0" applyFont="1" applyFill="1" applyBorder="1" applyAlignment="1">
      <alignment horizontal="center" vertical="center"/>
    </xf>
    <xf numFmtId="0" fontId="7" fillId="13" borderId="1" xfId="0" applyFont="1" applyFill="1" applyBorder="1" applyAlignment="1">
      <alignment horizontal="center" vertical="center"/>
    </xf>
    <xf numFmtId="0" fontId="12" fillId="0"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0" fillId="9" borderId="1" xfId="0" applyFill="1" applyBorder="1" applyAlignment="1">
      <alignment horizontal="center" vertical="center"/>
    </xf>
    <xf numFmtId="0" fontId="0" fillId="0" borderId="0" xfId="0">
      <alignment vertical="center"/>
    </xf>
    <xf numFmtId="0" fontId="2" fillId="5" borderId="1"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4" fillId="3" borderId="22" xfId="0" applyFont="1" applyFill="1" applyBorder="1" applyAlignment="1">
      <alignment horizontal="center" vertical="center" wrapText="1"/>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7" fillId="13" borderId="12" xfId="0" applyFont="1" applyFill="1" applyBorder="1" applyAlignment="1">
      <alignment horizontal="center" vertical="center" shrinkToFit="1"/>
    </xf>
    <xf numFmtId="0" fontId="4" fillId="16" borderId="20" xfId="0" applyFont="1" applyFill="1" applyBorder="1" applyAlignment="1">
      <alignment horizontal="center" vertical="center" wrapText="1"/>
    </xf>
    <xf numFmtId="0" fontId="3" fillId="7" borderId="23" xfId="0" applyFont="1" applyFill="1" applyBorder="1" applyAlignment="1">
      <alignment horizontal="center" vertical="center"/>
    </xf>
    <xf numFmtId="0" fontId="3" fillId="7" borderId="21"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0" xfId="0"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4" fillId="0" borderId="31" xfId="0" applyFont="1" applyFill="1" applyBorder="1" applyAlignment="1">
      <alignment horizontal="center" vertical="center" wrapText="1" shrinkToFit="1"/>
    </xf>
    <xf numFmtId="0" fontId="4" fillId="0" borderId="33" xfId="0" applyFont="1" applyFill="1" applyBorder="1" applyAlignment="1">
      <alignment horizontal="center" vertical="center" wrapText="1"/>
    </xf>
    <xf numFmtId="0" fontId="4" fillId="15" borderId="33" xfId="0" applyFont="1" applyFill="1" applyBorder="1" applyAlignment="1">
      <alignment horizontal="center" vertical="center" wrapText="1"/>
    </xf>
    <xf numFmtId="0" fontId="11" fillId="9" borderId="11" xfId="0" applyFont="1" applyFill="1" applyBorder="1" applyAlignment="1">
      <alignment horizontal="center" vertical="center" shrinkToFit="1"/>
    </xf>
    <xf numFmtId="0" fontId="11" fillId="9" borderId="1" xfId="0" applyFont="1" applyFill="1" applyBorder="1" applyAlignment="1">
      <alignment horizontal="center" vertical="center" shrinkToFit="1"/>
    </xf>
    <xf numFmtId="0" fontId="9" fillId="9" borderId="1" xfId="0" applyFont="1" applyFill="1" applyBorder="1" applyAlignment="1">
      <alignment horizontal="center" vertical="center" shrinkToFit="1"/>
    </xf>
    <xf numFmtId="0" fontId="9" fillId="9" borderId="11" xfId="0" applyFont="1" applyFill="1" applyBorder="1" applyAlignment="1">
      <alignment horizontal="center" vertical="center" shrinkToFit="1"/>
    </xf>
    <xf numFmtId="0" fontId="9" fillId="9" borderId="18" xfId="0" applyFont="1" applyFill="1" applyBorder="1" applyAlignment="1">
      <alignment horizontal="center" vertical="center" shrinkToFit="1"/>
    </xf>
    <xf numFmtId="0" fontId="9" fillId="9" borderId="2" xfId="0" applyFont="1" applyFill="1" applyBorder="1" applyAlignment="1">
      <alignment horizontal="center" vertical="center" shrinkToFit="1"/>
    </xf>
    <xf numFmtId="0" fontId="0" fillId="0" borderId="0" xfId="0">
      <alignment vertical="center"/>
    </xf>
    <xf numFmtId="0" fontId="9" fillId="0" borderId="0" xfId="0" applyFont="1">
      <alignment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6" borderId="12" xfId="0" applyFont="1" applyFill="1" applyBorder="1" applyAlignment="1">
      <alignment horizontal="center" vertical="center" shrinkToFit="1"/>
    </xf>
    <xf numFmtId="0" fontId="0" fillId="0" borderId="0" xfId="0" applyAlignment="1">
      <alignment horizontal="center" vertical="center"/>
    </xf>
    <xf numFmtId="0" fontId="0" fillId="0" borderId="0" xfId="0" applyFont="1" applyAlignment="1">
      <alignment horizontal="center" vertical="center"/>
    </xf>
    <xf numFmtId="0" fontId="6" fillId="6" borderId="1" xfId="0" applyFont="1" applyFill="1" applyBorder="1" applyAlignment="1">
      <alignment horizontal="center" vertical="center"/>
    </xf>
    <xf numFmtId="0" fontId="7" fillId="6" borderId="1" xfId="0" applyFont="1" applyFill="1" applyBorder="1" applyAlignment="1">
      <alignment horizontal="center" vertical="center"/>
    </xf>
    <xf numFmtId="0" fontId="8" fillId="6" borderId="1" xfId="0" applyFont="1" applyFill="1" applyBorder="1" applyAlignment="1">
      <alignment horizontal="center" vertical="center"/>
    </xf>
    <xf numFmtId="0" fontId="2" fillId="0" borderId="0" xfId="0" applyFont="1" applyAlignment="1">
      <alignment horizontal="left" vertical="center"/>
    </xf>
    <xf numFmtId="0" fontId="6" fillId="6" borderId="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7" fillId="6" borderId="1" xfId="0" applyFont="1" applyFill="1" applyBorder="1" applyAlignment="1">
      <alignment horizontal="center" vertical="center" shrinkToFit="1"/>
    </xf>
    <xf numFmtId="0" fontId="0" fillId="0" borderId="18" xfId="0" applyBorder="1" applyAlignment="1">
      <alignment horizontal="center" vertical="center"/>
    </xf>
    <xf numFmtId="0" fontId="0" fillId="9" borderId="11" xfId="0" applyFill="1" applyBorder="1" applyAlignment="1">
      <alignment horizontal="center" vertical="center"/>
    </xf>
    <xf numFmtId="0" fontId="9" fillId="0" borderId="0" xfId="0" applyFont="1" applyAlignment="1">
      <alignment horizontal="left" vertical="center"/>
    </xf>
    <xf numFmtId="0" fontId="17" fillId="0" borderId="0" xfId="0" applyFont="1">
      <alignment vertical="center"/>
    </xf>
    <xf numFmtId="0" fontId="17" fillId="9" borderId="18" xfId="0" applyFont="1" applyFill="1" applyBorder="1" applyAlignment="1">
      <alignment horizontal="center" vertical="center" shrinkToFit="1"/>
    </xf>
    <xf numFmtId="0" fontId="10" fillId="10" borderId="34" xfId="0" applyFont="1" applyFill="1" applyBorder="1" applyAlignment="1">
      <alignment horizontal="center" vertical="center" shrinkToFit="1"/>
    </xf>
    <xf numFmtId="0" fontId="3" fillId="0" borderId="22"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16" fillId="0" borderId="0" xfId="0" applyFont="1" applyAlignment="1">
      <alignment horizontal="center" vertical="center"/>
    </xf>
    <xf numFmtId="0" fontId="16" fillId="0" borderId="0" xfId="0" applyFont="1">
      <alignment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0" fillId="0" borderId="0" xfId="0">
      <alignment vertical="center"/>
    </xf>
    <xf numFmtId="0" fontId="9" fillId="0" borderId="0" xfId="0" applyFont="1">
      <alignment vertical="center"/>
    </xf>
    <xf numFmtId="0" fontId="6" fillId="17" borderId="1" xfId="0" applyFont="1" applyFill="1" applyBorder="1" applyAlignment="1">
      <alignment horizontal="center" vertical="center"/>
    </xf>
    <xf numFmtId="0" fontId="8" fillId="17" borderId="1" xfId="0" applyFont="1" applyFill="1" applyBorder="1" applyAlignment="1">
      <alignment horizontal="center" vertical="center"/>
    </xf>
    <xf numFmtId="0" fontId="7" fillId="17" borderId="1" xfId="0" applyFont="1" applyFill="1" applyBorder="1" applyAlignment="1">
      <alignment horizontal="center" vertical="center"/>
    </xf>
    <xf numFmtId="0" fontId="6" fillId="17" borderId="1" xfId="0" applyFont="1" applyFill="1" applyBorder="1" applyAlignment="1">
      <alignment horizontal="center" vertical="center" shrinkToFit="1"/>
    </xf>
    <xf numFmtId="0" fontId="7" fillId="17" borderId="12" xfId="0" applyFont="1" applyFill="1" applyBorder="1" applyAlignment="1">
      <alignment horizontal="center" vertical="center" shrinkToFit="1"/>
    </xf>
    <xf numFmtId="0" fontId="8" fillId="17" borderId="1" xfId="0" applyFont="1" applyFill="1" applyBorder="1" applyAlignment="1">
      <alignment horizontal="center" vertical="center" shrinkToFit="1"/>
    </xf>
    <xf numFmtId="0" fontId="7" fillId="17" borderId="1" xfId="0" applyFont="1" applyFill="1" applyBorder="1" applyAlignment="1">
      <alignment horizontal="center" vertical="center" shrinkToFit="1"/>
    </xf>
    <xf numFmtId="0" fontId="22" fillId="9" borderId="1" xfId="0" applyFont="1" applyFill="1" applyBorder="1" applyAlignment="1">
      <alignment horizontal="center" vertical="center" shrinkToFit="1"/>
    </xf>
    <xf numFmtId="0" fontId="9" fillId="0" borderId="0" xfId="0" applyFont="1">
      <alignment vertical="center"/>
    </xf>
    <xf numFmtId="0" fontId="0" fillId="0" borderId="0" xfId="0">
      <alignment vertical="center"/>
    </xf>
    <xf numFmtId="0" fontId="0" fillId="9" borderId="1" xfId="0" applyFill="1" applyBorder="1" applyAlignment="1">
      <alignment horizontal="center" vertical="center"/>
    </xf>
    <xf numFmtId="0" fontId="7" fillId="17" borderId="12" xfId="0" applyFont="1" applyFill="1" applyBorder="1" applyAlignment="1">
      <alignment horizontal="center" vertical="center" shrinkToFit="1"/>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2" fillId="5" borderId="1"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1" xfId="0" applyFill="1" applyBorder="1" applyAlignment="1">
      <alignment horizontal="center" vertical="center"/>
    </xf>
    <xf numFmtId="0" fontId="0" fillId="9" borderId="2" xfId="0" applyFill="1" applyBorder="1" applyAlignment="1">
      <alignment horizontal="center" vertical="center"/>
    </xf>
    <xf numFmtId="0" fontId="7" fillId="13" borderId="12" xfId="0" applyFont="1" applyFill="1" applyBorder="1" applyAlignment="1">
      <alignment horizontal="center" vertical="center" shrinkToFit="1"/>
    </xf>
    <xf numFmtId="0" fontId="0" fillId="9" borderId="11"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13" borderId="12" xfId="0" applyFont="1" applyFill="1" applyBorder="1" applyAlignment="1">
      <alignment horizontal="center" vertical="center" shrinkToFit="1"/>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6" borderId="12" xfId="0" applyFont="1" applyFill="1" applyBorder="1" applyAlignment="1">
      <alignment horizontal="center" vertical="center" shrinkToFit="1"/>
    </xf>
    <xf numFmtId="0" fontId="5" fillId="4" borderId="38" xfId="0" applyFont="1" applyFill="1" applyBorder="1" applyAlignment="1">
      <alignment horizontal="center" vertical="center" shrinkToFit="1"/>
    </xf>
    <xf numFmtId="0" fontId="10" fillId="7" borderId="27" xfId="0" applyFont="1" applyFill="1" applyBorder="1" applyAlignment="1">
      <alignment horizontal="center" vertical="center" wrapText="1"/>
    </xf>
    <xf numFmtId="0" fontId="22" fillId="9" borderId="11" xfId="0" applyFont="1" applyFill="1" applyBorder="1" applyAlignment="1">
      <alignment horizontal="center" vertical="center" shrinkToFit="1"/>
    </xf>
    <xf numFmtId="0" fontId="22" fillId="9" borderId="2" xfId="0" applyFont="1" applyFill="1" applyBorder="1" applyAlignment="1">
      <alignment horizontal="center" vertical="center" shrinkToFit="1"/>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1" xfId="0" applyFill="1" applyBorder="1" applyAlignment="1">
      <alignment horizontal="center" vertical="center"/>
    </xf>
    <xf numFmtId="0" fontId="10" fillId="8" borderId="39" xfId="0" applyFont="1" applyFill="1" applyBorder="1" applyAlignment="1">
      <alignment horizontal="center" vertical="center" wrapText="1"/>
    </xf>
    <xf numFmtId="0" fontId="3" fillId="8" borderId="40" xfId="0" applyFont="1" applyFill="1" applyBorder="1" applyAlignment="1">
      <alignment horizontal="center" vertical="center"/>
    </xf>
    <xf numFmtId="0" fontId="3" fillId="8" borderId="41" xfId="0" applyFont="1" applyFill="1" applyBorder="1" applyAlignment="1">
      <alignment horizontal="center" vertical="center"/>
    </xf>
    <xf numFmtId="0" fontId="5" fillId="2" borderId="43" xfId="0" applyFont="1" applyFill="1" applyBorder="1" applyAlignment="1">
      <alignment horizontal="center" vertical="center" shrinkToFit="1"/>
    </xf>
    <xf numFmtId="0" fontId="10" fillId="8" borderId="44" xfId="0" applyFont="1" applyFill="1" applyBorder="1" applyAlignment="1">
      <alignment horizontal="center" vertical="center" wrapText="1"/>
    </xf>
    <xf numFmtId="0" fontId="3" fillId="8" borderId="1" xfId="0" applyFont="1" applyFill="1" applyBorder="1" applyAlignment="1">
      <alignment horizontal="center" vertical="center"/>
    </xf>
    <xf numFmtId="0" fontId="3" fillId="8" borderId="45" xfId="0" applyFont="1" applyFill="1" applyBorder="1" applyAlignment="1">
      <alignment horizontal="center" vertical="center"/>
    </xf>
    <xf numFmtId="0" fontId="5" fillId="18" borderId="1"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7" fillId="17" borderId="12" xfId="0" applyFont="1" applyFill="1" applyBorder="1" applyAlignment="1">
      <alignment horizontal="center" vertical="center" shrinkToFit="1"/>
    </xf>
    <xf numFmtId="0" fontId="0" fillId="0" borderId="1" xfId="0" applyBorder="1" applyAlignment="1">
      <alignment horizontal="center" vertical="center"/>
    </xf>
    <xf numFmtId="0" fontId="0" fillId="9" borderId="1" xfId="0" applyFill="1" applyBorder="1" applyAlignment="1">
      <alignment horizontal="center" vertical="center"/>
    </xf>
    <xf numFmtId="0" fontId="7" fillId="6" borderId="12" xfId="0" applyFont="1" applyFill="1" applyBorder="1" applyAlignment="1">
      <alignment horizontal="center" vertical="center" shrinkToFit="1"/>
    </xf>
    <xf numFmtId="176" fontId="9" fillId="0" borderId="0" xfId="0" applyNumberFormat="1" applyFont="1" applyAlignment="1">
      <alignment horizontal="center" vertical="center"/>
    </xf>
    <xf numFmtId="0" fontId="0" fillId="9" borderId="11"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17" borderId="12" xfId="0" applyFont="1" applyFill="1" applyBorder="1" applyAlignment="1">
      <alignment horizontal="center" vertical="center" shrinkToFit="1"/>
    </xf>
    <xf numFmtId="0" fontId="4" fillId="19" borderId="33" xfId="0" applyFont="1" applyFill="1" applyBorder="1" applyAlignment="1">
      <alignment horizontal="center" vertical="center" wrapText="1"/>
    </xf>
    <xf numFmtId="0" fontId="0" fillId="9" borderId="2" xfId="0" applyFill="1" applyBorder="1" applyAlignment="1">
      <alignment horizontal="center" vertical="center"/>
    </xf>
    <xf numFmtId="0" fontId="0" fillId="9" borderId="12"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0" fillId="0" borderId="12" xfId="0" applyBorder="1" applyAlignment="1">
      <alignment horizontal="center" vertical="center"/>
    </xf>
    <xf numFmtId="0" fontId="19" fillId="5" borderId="13" xfId="0" applyFont="1" applyFill="1" applyBorder="1" applyAlignment="1">
      <alignment horizontal="center" vertical="center"/>
    </xf>
    <xf numFmtId="0" fontId="19" fillId="5" borderId="12" xfId="0" applyFont="1" applyFill="1" applyBorder="1" applyAlignment="1">
      <alignment horizontal="center" vertical="center"/>
    </xf>
    <xf numFmtId="0" fontId="2" fillId="5" borderId="12" xfId="0" applyFont="1" applyFill="1" applyBorder="1" applyAlignment="1">
      <alignment horizontal="center" vertical="center"/>
    </xf>
    <xf numFmtId="0" fontId="0" fillId="9" borderId="1" xfId="0" applyFill="1" applyBorder="1" applyAlignment="1">
      <alignment horizontal="center" vertical="center" shrinkToFit="1"/>
    </xf>
    <xf numFmtId="0" fontId="2" fillId="0" borderId="0" xfId="0" applyFont="1">
      <alignment vertical="center"/>
    </xf>
    <xf numFmtId="0" fontId="0" fillId="14"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1" xfId="0" applyFill="1" applyBorder="1" applyAlignment="1">
      <alignment horizontal="center" vertical="center"/>
    </xf>
    <xf numFmtId="0" fontId="7" fillId="13" borderId="12" xfId="0" applyFont="1" applyFill="1" applyBorder="1" applyAlignment="1">
      <alignment horizontal="center" vertical="center" shrinkToFit="1"/>
    </xf>
    <xf numFmtId="0" fontId="7" fillId="17" borderId="12" xfId="0" applyFont="1" applyFill="1" applyBorder="1" applyAlignment="1">
      <alignment horizontal="center" vertical="center" shrinkToFit="1"/>
    </xf>
    <xf numFmtId="0" fontId="3" fillId="0" borderId="23" xfId="0" applyFont="1" applyFill="1" applyBorder="1" applyAlignment="1">
      <alignment horizontal="center" vertical="center"/>
    </xf>
    <xf numFmtId="0" fontId="4" fillId="0" borderId="38" xfId="0" applyFont="1" applyFill="1" applyBorder="1" applyAlignment="1">
      <alignment horizontal="center" vertical="center" wrapText="1" shrinkToFit="1"/>
    </xf>
    <xf numFmtId="0" fontId="39" fillId="5" borderId="58" xfId="0" applyFont="1" applyFill="1" applyBorder="1" applyAlignment="1">
      <alignment horizontal="center" vertical="center"/>
    </xf>
    <xf numFmtId="0" fontId="39" fillId="5" borderId="59" xfId="0" applyFont="1" applyFill="1" applyBorder="1" applyAlignment="1">
      <alignment horizontal="center" vertical="center"/>
    </xf>
    <xf numFmtId="0" fontId="40" fillId="5" borderId="56" xfId="0" applyFont="1" applyFill="1" applyBorder="1" applyAlignment="1">
      <alignment horizontal="center" vertical="center" wrapText="1" shrinkToFit="1"/>
    </xf>
    <xf numFmtId="0" fontId="4" fillId="0" borderId="18" xfId="0" applyFont="1" applyFill="1" applyBorder="1" applyAlignment="1">
      <alignment horizontal="center" vertical="center" wrapText="1"/>
    </xf>
    <xf numFmtId="0" fontId="4" fillId="3" borderId="66" xfId="0" applyFont="1" applyFill="1" applyBorder="1" applyAlignment="1">
      <alignment horizontal="center" vertical="center" wrapText="1"/>
    </xf>
    <xf numFmtId="0" fontId="4" fillId="23" borderId="41" xfId="0" applyFont="1" applyFill="1" applyBorder="1" applyAlignment="1">
      <alignment horizontal="center" vertical="center" wrapText="1"/>
    </xf>
    <xf numFmtId="0" fontId="3" fillId="0" borderId="36" xfId="0" applyFont="1" applyFill="1" applyBorder="1" applyAlignment="1">
      <alignment horizontal="center" vertical="center"/>
    </xf>
    <xf numFmtId="0" fontId="3" fillId="7" borderId="61" xfId="0" applyFont="1" applyFill="1" applyBorder="1" applyAlignment="1">
      <alignment horizontal="center" vertical="center"/>
    </xf>
    <xf numFmtId="0" fontId="3" fillId="8" borderId="12" xfId="0" applyFont="1" applyFill="1" applyBorder="1" applyAlignment="1">
      <alignment horizontal="center" vertical="center"/>
    </xf>
    <xf numFmtId="0" fontId="3" fillId="8" borderId="66" xfId="0" applyFont="1" applyFill="1" applyBorder="1" applyAlignment="1">
      <alignment horizontal="center" vertical="center"/>
    </xf>
    <xf numFmtId="0" fontId="4" fillId="5" borderId="18" xfId="0" applyFont="1" applyFill="1" applyBorder="1" applyAlignment="1">
      <alignment horizontal="center" vertical="center" wrapText="1"/>
    </xf>
    <xf numFmtId="0" fontId="3" fillId="0" borderId="61" xfId="0" applyFont="1" applyFill="1" applyBorder="1" applyAlignment="1">
      <alignment horizontal="center" vertical="center"/>
    </xf>
    <xf numFmtId="0" fontId="39" fillId="5" borderId="40" xfId="0" applyFont="1" applyFill="1" applyBorder="1" applyAlignment="1">
      <alignment horizontal="center" vertical="center"/>
    </xf>
    <xf numFmtId="0" fontId="39" fillId="5" borderId="41" xfId="0" applyFont="1" applyFill="1" applyBorder="1" applyAlignment="1">
      <alignment horizontal="center" vertical="center"/>
    </xf>
    <xf numFmtId="0" fontId="4" fillId="24" borderId="54" xfId="0" applyFont="1" applyFill="1" applyBorder="1" applyAlignment="1">
      <alignment horizontal="center" vertical="center" shrinkToFit="1"/>
    </xf>
    <xf numFmtId="0" fontId="17" fillId="24" borderId="32" xfId="0" applyFont="1" applyFill="1" applyBorder="1" applyAlignment="1">
      <alignment horizontal="center" vertical="center" shrinkToFit="1"/>
    </xf>
    <xf numFmtId="0" fontId="3" fillId="24" borderId="68" xfId="0" applyFont="1" applyFill="1" applyBorder="1" applyAlignment="1">
      <alignment horizontal="center" vertical="center"/>
    </xf>
    <xf numFmtId="0" fontId="3" fillId="24" borderId="67" xfId="0" applyFont="1" applyFill="1" applyBorder="1" applyAlignment="1">
      <alignment horizontal="center" vertical="center"/>
    </xf>
    <xf numFmtId="0" fontId="39" fillId="24" borderId="29" xfId="0" applyFont="1" applyFill="1" applyBorder="1" applyAlignment="1">
      <alignment horizontal="center" vertical="center"/>
    </xf>
    <xf numFmtId="0" fontId="39" fillId="24" borderId="30" xfId="0" applyFont="1" applyFill="1" applyBorder="1" applyAlignment="1">
      <alignment horizontal="center" vertical="center"/>
    </xf>
    <xf numFmtId="0" fontId="39" fillId="5" borderId="22" xfId="0" applyFont="1" applyFill="1" applyBorder="1" applyAlignment="1">
      <alignment horizontal="center" vertical="center"/>
    </xf>
    <xf numFmtId="0" fontId="39" fillId="5" borderId="20" xfId="0" applyFont="1" applyFill="1" applyBorder="1" applyAlignment="1">
      <alignment horizontal="center" vertical="center"/>
    </xf>
    <xf numFmtId="0" fontId="14" fillId="12" borderId="1" xfId="0" applyFont="1" applyFill="1" applyBorder="1" applyAlignment="1">
      <alignment horizontal="center" vertical="center"/>
    </xf>
    <xf numFmtId="0" fontId="42" fillId="0" borderId="1" xfId="0" applyFont="1" applyBorder="1" applyAlignment="1">
      <alignment horizontal="center" vertical="center"/>
    </xf>
    <xf numFmtId="0" fontId="43" fillId="0" borderId="58" xfId="0" applyFont="1" applyFill="1" applyBorder="1" applyAlignment="1">
      <alignment horizontal="center" vertical="center"/>
    </xf>
    <xf numFmtId="0" fontId="44" fillId="0" borderId="58" xfId="0" applyFont="1" applyBorder="1">
      <alignment vertical="center"/>
    </xf>
    <xf numFmtId="0" fontId="45" fillId="0" borderId="71" xfId="0" applyFont="1" applyBorder="1" applyAlignment="1">
      <alignment horizontal="center" vertical="center"/>
    </xf>
    <xf numFmtId="0" fontId="46" fillId="0" borderId="72" xfId="0" applyFont="1" applyBorder="1" applyAlignment="1">
      <alignment horizontal="center" vertical="center"/>
    </xf>
    <xf numFmtId="0" fontId="45" fillId="0" borderId="72" xfId="0" applyFont="1" applyBorder="1" applyAlignment="1">
      <alignment horizontal="center" vertical="center"/>
    </xf>
    <xf numFmtId="0" fontId="45" fillId="25" borderId="72" xfId="0" applyFont="1" applyFill="1" applyBorder="1" applyAlignment="1">
      <alignment horizontal="center" vertical="center"/>
    </xf>
    <xf numFmtId="0" fontId="45" fillId="0" borderId="73" xfId="0" applyFont="1" applyBorder="1" applyAlignment="1">
      <alignment horizontal="center" vertical="center"/>
    </xf>
    <xf numFmtId="0" fontId="44" fillId="0" borderId="74" xfId="0" applyFont="1" applyBorder="1">
      <alignment vertical="center"/>
    </xf>
    <xf numFmtId="0" fontId="46" fillId="0" borderId="75" xfId="0" applyFont="1" applyBorder="1" applyAlignment="1">
      <alignment horizontal="center" vertical="center"/>
    </xf>
    <xf numFmtId="0" fontId="46" fillId="0" borderId="76" xfId="0" applyFont="1" applyBorder="1" applyAlignment="1">
      <alignment horizontal="center" vertical="center"/>
    </xf>
    <xf numFmtId="0" fontId="45" fillId="0" borderId="76" xfId="0" applyFont="1" applyBorder="1" applyAlignment="1">
      <alignment horizontal="center" vertical="center"/>
    </xf>
    <xf numFmtId="0" fontId="45" fillId="0" borderId="77" xfId="0" applyFont="1" applyBorder="1" applyAlignment="1">
      <alignment horizontal="center" vertical="center"/>
    </xf>
    <xf numFmtId="0" fontId="45" fillId="25" borderId="76" xfId="0" applyFont="1" applyFill="1" applyBorder="1" applyAlignment="1">
      <alignment horizontal="center" vertical="center"/>
    </xf>
    <xf numFmtId="0" fontId="43" fillId="0" borderId="2" xfId="0" applyFont="1" applyFill="1" applyBorder="1" applyAlignment="1">
      <alignment horizontal="center" vertical="center"/>
    </xf>
    <xf numFmtId="0" fontId="44" fillId="0" borderId="68" xfId="0" applyFont="1" applyBorder="1">
      <alignment vertical="center"/>
    </xf>
    <xf numFmtId="0" fontId="46" fillId="0" borderId="78" xfId="0" applyFont="1" applyBorder="1" applyAlignment="1">
      <alignment horizontal="center" vertical="center"/>
    </xf>
    <xf numFmtId="0" fontId="46" fillId="0" borderId="79" xfId="0" applyFont="1" applyBorder="1" applyAlignment="1">
      <alignment horizontal="center" vertical="center"/>
    </xf>
    <xf numFmtId="0" fontId="45" fillId="0" borderId="79" xfId="0" applyFont="1" applyBorder="1" applyAlignment="1">
      <alignment horizontal="center" vertical="center"/>
    </xf>
    <xf numFmtId="0" fontId="45" fillId="25" borderId="79" xfId="0" applyFont="1" applyFill="1" applyBorder="1" applyAlignment="1">
      <alignment horizontal="center" vertical="center"/>
    </xf>
    <xf numFmtId="0" fontId="45" fillId="0" borderId="80" xfId="0" applyFont="1" applyBorder="1" applyAlignment="1">
      <alignment horizontal="center" vertical="center"/>
    </xf>
    <xf numFmtId="0" fontId="45" fillId="0" borderId="81" xfId="0" applyFont="1" applyBorder="1" applyAlignment="1">
      <alignment horizontal="center" vertical="center"/>
    </xf>
    <xf numFmtId="0" fontId="46" fillId="0" borderId="84" xfId="0" applyFont="1" applyBorder="1" applyAlignment="1">
      <alignment horizontal="center" vertical="center"/>
    </xf>
    <xf numFmtId="0" fontId="45" fillId="0" borderId="75" xfId="0" applyFont="1" applyBorder="1" applyAlignment="1">
      <alignment horizontal="center" vertical="center"/>
    </xf>
    <xf numFmtId="0" fontId="45" fillId="0" borderId="78" xfId="0" applyFont="1" applyBorder="1" applyAlignment="1">
      <alignment horizontal="center" vertical="center"/>
    </xf>
    <xf numFmtId="0" fontId="34" fillId="0" borderId="58" xfId="0" applyFont="1" applyFill="1" applyBorder="1" applyAlignment="1">
      <alignment horizontal="center" vertical="center"/>
    </xf>
    <xf numFmtId="0" fontId="34" fillId="0" borderId="2" xfId="0" applyFont="1" applyFill="1" applyBorder="1" applyAlignment="1">
      <alignment horizontal="center" vertical="center"/>
    </xf>
    <xf numFmtId="0" fontId="49" fillId="26" borderId="58" xfId="0" applyFont="1" applyFill="1" applyBorder="1" applyAlignment="1">
      <alignment horizontal="center" vertical="center"/>
    </xf>
    <xf numFmtId="0" fontId="7" fillId="26" borderId="74" xfId="0" applyFont="1" applyFill="1" applyBorder="1">
      <alignment vertical="center"/>
    </xf>
    <xf numFmtId="0" fontId="42" fillId="0" borderId="0" xfId="0" applyFont="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center" vertical="center" wrapText="1"/>
    </xf>
    <xf numFmtId="0" fontId="42" fillId="0" borderId="0" xfId="0" applyFont="1" applyAlignment="1">
      <alignment horizontal="center" vertical="center" wrapText="1"/>
    </xf>
    <xf numFmtId="0" fontId="14" fillId="12" borderId="89" xfId="0" applyFont="1" applyFill="1" applyBorder="1" applyAlignment="1">
      <alignment horizontal="center" vertical="center" wrapText="1"/>
    </xf>
    <xf numFmtId="0" fontId="31" fillId="25" borderId="43" xfId="0" applyFont="1" applyFill="1" applyBorder="1" applyAlignment="1">
      <alignment horizontal="center" vertical="center" wrapText="1"/>
    </xf>
    <xf numFmtId="0" fontId="31" fillId="25" borderId="69" xfId="0" applyFont="1" applyFill="1" applyBorder="1" applyAlignment="1">
      <alignment horizontal="center" vertical="center" wrapText="1"/>
    </xf>
    <xf numFmtId="0" fontId="31" fillId="25" borderId="69" xfId="0" applyFont="1" applyFill="1" applyBorder="1" applyAlignment="1">
      <alignment horizontal="center" vertical="center" textRotation="255" wrapText="1"/>
    </xf>
    <xf numFmtId="0" fontId="31" fillId="25" borderId="70" xfId="0" applyFont="1" applyFill="1" applyBorder="1" applyAlignment="1">
      <alignment horizontal="center" vertical="center" wrapText="1"/>
    </xf>
    <xf numFmtId="0" fontId="45" fillId="25" borderId="76" xfId="0" applyFont="1" applyFill="1" applyBorder="1" applyAlignment="1">
      <alignment horizontal="center" vertical="center" wrapText="1"/>
    </xf>
    <xf numFmtId="0" fontId="52" fillId="25" borderId="71" xfId="0" applyFont="1" applyFill="1" applyBorder="1" applyAlignment="1">
      <alignment horizontal="center" vertical="center"/>
    </xf>
    <xf numFmtId="0" fontId="52" fillId="25" borderId="73" xfId="0" applyFont="1" applyFill="1" applyBorder="1" applyAlignment="1">
      <alignment horizontal="center" vertical="center"/>
    </xf>
    <xf numFmtId="0" fontId="52" fillId="25" borderId="75" xfId="0" applyFont="1" applyFill="1" applyBorder="1" applyAlignment="1">
      <alignment horizontal="center" vertical="center"/>
    </xf>
    <xf numFmtId="0" fontId="52" fillId="25" borderId="77" xfId="0" applyFont="1" applyFill="1" applyBorder="1" applyAlignment="1">
      <alignment horizontal="center" vertical="center"/>
    </xf>
    <xf numFmtId="0" fontId="47" fillId="0" borderId="76" xfId="0" applyFont="1" applyBorder="1" applyAlignment="1">
      <alignment horizontal="center" vertical="center" wrapText="1"/>
    </xf>
    <xf numFmtId="0" fontId="45" fillId="25" borderId="79" xfId="0" applyFont="1" applyFill="1" applyBorder="1" applyAlignment="1">
      <alignment horizontal="center" vertical="center" wrapText="1"/>
    </xf>
    <xf numFmtId="0" fontId="52" fillId="25" borderId="78" xfId="0" applyFont="1" applyFill="1" applyBorder="1" applyAlignment="1">
      <alignment horizontal="center" vertical="center"/>
    </xf>
    <xf numFmtId="0" fontId="52" fillId="25" borderId="80" xfId="0" applyFont="1" applyFill="1" applyBorder="1" applyAlignment="1">
      <alignment horizontal="center" vertical="center"/>
    </xf>
    <xf numFmtId="0" fontId="0" fillId="0" borderId="0" xfId="0" applyAlignment="1">
      <alignment vertical="center" wrapText="1"/>
    </xf>
    <xf numFmtId="0" fontId="13" fillId="12" borderId="8" xfId="0" applyFont="1" applyFill="1" applyBorder="1" applyAlignment="1">
      <alignment horizontal="center" vertical="center"/>
    </xf>
    <xf numFmtId="0" fontId="44" fillId="0" borderId="92" xfId="0" applyFont="1" applyBorder="1" applyAlignment="1">
      <alignment horizontal="center" vertical="center"/>
    </xf>
    <xf numFmtId="0" fontId="0" fillId="0" borderId="93" xfId="0" applyBorder="1" applyAlignment="1">
      <alignment horizontal="center" vertical="center"/>
    </xf>
    <xf numFmtId="0" fontId="44" fillId="0" borderId="85" xfId="0" applyFont="1" applyBorder="1" applyAlignment="1">
      <alignment horizontal="center" vertical="center"/>
    </xf>
    <xf numFmtId="0" fontId="0" fillId="0" borderId="95" xfId="0" applyBorder="1" applyAlignment="1">
      <alignment horizontal="center" vertical="center"/>
    </xf>
    <xf numFmtId="0" fontId="54" fillId="26" borderId="77" xfId="0" applyFont="1" applyFill="1" applyBorder="1" applyAlignment="1">
      <alignment horizontal="center" vertical="center"/>
    </xf>
    <xf numFmtId="0" fontId="45" fillId="0" borderId="96" xfId="0" applyFont="1" applyBorder="1" applyAlignment="1">
      <alignment horizontal="center" vertical="center"/>
    </xf>
    <xf numFmtId="0" fontId="48" fillId="0" borderId="0" xfId="0" applyFont="1" applyFill="1" applyBorder="1" applyAlignment="1">
      <alignment horizontal="center" vertical="center" shrinkToFit="1"/>
    </xf>
    <xf numFmtId="0" fontId="48" fillId="0" borderId="106" xfId="0" applyFont="1" applyFill="1" applyBorder="1" applyAlignment="1">
      <alignment horizontal="center" vertical="center"/>
    </xf>
    <xf numFmtId="0" fontId="48" fillId="0" borderId="2" xfId="0" applyFont="1" applyFill="1" applyBorder="1" applyAlignment="1">
      <alignment horizontal="center" vertical="center"/>
    </xf>
    <xf numFmtId="0" fontId="48" fillId="0" borderId="107" xfId="0" applyFont="1" applyFill="1" applyBorder="1" applyAlignment="1">
      <alignment horizontal="center" vertical="center"/>
    </xf>
    <xf numFmtId="0" fontId="48" fillId="0" borderId="0" xfId="0" applyFont="1" applyFill="1" applyBorder="1" applyAlignment="1">
      <alignment horizontal="center" vertical="center"/>
    </xf>
    <xf numFmtId="0" fontId="56" fillId="0" borderId="100" xfId="0" applyNumberFormat="1" applyFont="1" applyFill="1" applyBorder="1" applyAlignment="1">
      <alignment horizontal="center" vertical="center"/>
    </xf>
    <xf numFmtId="0" fontId="56" fillId="0" borderId="101" xfId="0" applyNumberFormat="1" applyFont="1" applyFill="1" applyBorder="1" applyAlignment="1">
      <alignment horizontal="center" vertical="center"/>
    </xf>
    <xf numFmtId="0" fontId="56" fillId="0" borderId="102" xfId="0" applyNumberFormat="1" applyFont="1" applyFill="1" applyBorder="1" applyAlignment="1">
      <alignment horizontal="center" vertical="center"/>
    </xf>
    <xf numFmtId="49" fontId="56" fillId="0" borderId="0" xfId="0" applyNumberFormat="1" applyFont="1" applyFill="1" applyBorder="1" applyAlignment="1">
      <alignment horizontal="center" vertical="center"/>
    </xf>
    <xf numFmtId="49" fontId="56" fillId="0" borderId="100" xfId="0" applyNumberFormat="1" applyFont="1" applyFill="1" applyBorder="1" applyAlignment="1">
      <alignment horizontal="center" vertical="center"/>
    </xf>
    <xf numFmtId="49" fontId="56" fillId="0" borderId="101" xfId="0" applyNumberFormat="1" applyFont="1" applyFill="1" applyBorder="1" applyAlignment="1">
      <alignment horizontal="center" vertical="center"/>
    </xf>
    <xf numFmtId="49" fontId="56" fillId="0" borderId="102" xfId="0" applyNumberFormat="1" applyFont="1" applyFill="1" applyBorder="1" applyAlignment="1">
      <alignment horizontal="center" vertical="center"/>
    </xf>
    <xf numFmtId="49" fontId="48" fillId="0" borderId="16" xfId="0" applyNumberFormat="1" applyFont="1" applyFill="1" applyBorder="1" applyAlignment="1">
      <alignment horizontal="center" vertical="center"/>
    </xf>
    <xf numFmtId="49" fontId="48" fillId="0" borderId="0" xfId="0" applyNumberFormat="1" applyFont="1" applyFill="1" applyBorder="1" applyAlignment="1">
      <alignment horizontal="center" vertical="center"/>
    </xf>
    <xf numFmtId="0" fontId="33" fillId="0" borderId="106" xfId="0" applyFont="1" applyFill="1" applyBorder="1" applyAlignment="1">
      <alignment horizontal="center" vertical="center"/>
    </xf>
    <xf numFmtId="0" fontId="48" fillId="0" borderId="0" xfId="0" applyFont="1">
      <alignment vertical="center"/>
    </xf>
    <xf numFmtId="0" fontId="57" fillId="0" borderId="24" xfId="0" applyFont="1" applyBorder="1">
      <alignment vertical="center"/>
    </xf>
    <xf numFmtId="0" fontId="57" fillId="0" borderId="52" xfId="0" applyFont="1" applyBorder="1">
      <alignment vertical="center"/>
    </xf>
    <xf numFmtId="0" fontId="57" fillId="0" borderId="110" xfId="0" applyFont="1" applyBorder="1">
      <alignment vertical="center"/>
    </xf>
    <xf numFmtId="0" fontId="0" fillId="0" borderId="111" xfId="0" applyBorder="1">
      <alignment vertical="center"/>
    </xf>
    <xf numFmtId="0" fontId="0" fillId="0" borderId="0" xfId="0" applyBorder="1">
      <alignment vertical="center"/>
    </xf>
    <xf numFmtId="0" fontId="0" fillId="0" borderId="112" xfId="0" applyBorder="1">
      <alignment vertical="center"/>
    </xf>
    <xf numFmtId="0" fontId="58" fillId="0" borderId="111" xfId="0" applyFont="1" applyBorder="1">
      <alignment vertical="center"/>
    </xf>
    <xf numFmtId="0" fontId="58" fillId="0" borderId="0" xfId="0" applyFont="1" applyBorder="1">
      <alignment vertical="center"/>
    </xf>
    <xf numFmtId="0" fontId="58" fillId="0" borderId="112" xfId="0" applyFont="1" applyBorder="1">
      <alignment vertical="center"/>
    </xf>
    <xf numFmtId="0" fontId="16" fillId="0" borderId="111" xfId="0" applyFont="1" applyBorder="1">
      <alignment vertical="center"/>
    </xf>
    <xf numFmtId="0" fontId="16" fillId="0" borderId="0" xfId="0" applyFont="1" applyBorder="1">
      <alignment vertical="center"/>
    </xf>
    <xf numFmtId="0" fontId="16" fillId="0" borderId="112" xfId="0" applyFont="1" applyBorder="1">
      <alignment vertical="center"/>
    </xf>
    <xf numFmtId="0" fontId="0" fillId="0" borderId="28" xfId="0" applyBorder="1">
      <alignment vertical="center"/>
    </xf>
    <xf numFmtId="0" fontId="0" fillId="0" borderId="64" xfId="0" applyBorder="1">
      <alignment vertical="center"/>
    </xf>
    <xf numFmtId="0" fontId="0" fillId="0" borderId="113" xfId="0" applyBorder="1">
      <alignment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7" fillId="13" borderId="12" xfId="0" applyFont="1" applyFill="1" applyBorder="1" applyAlignment="1">
      <alignment horizontal="center" vertical="center" shrinkToFit="1"/>
    </xf>
    <xf numFmtId="0" fontId="33" fillId="0" borderId="74" xfId="6" applyFont="1" applyBorder="1">
      <alignment vertical="center"/>
    </xf>
    <xf numFmtId="0" fontId="0" fillId="0" borderId="1" xfId="0" applyBorder="1" applyAlignment="1">
      <alignment horizontal="center" vertical="center"/>
    </xf>
    <xf numFmtId="0" fontId="7" fillId="6" borderId="12" xfId="0" applyFont="1" applyFill="1" applyBorder="1" applyAlignment="1">
      <alignment horizontal="center" vertical="center" shrinkToFit="1"/>
    </xf>
    <xf numFmtId="0" fontId="9" fillId="9" borderId="1" xfId="0" applyFont="1" applyFill="1" applyBorder="1" applyAlignment="1">
      <alignment horizontal="center" vertical="center"/>
    </xf>
    <xf numFmtId="0" fontId="0" fillId="0" borderId="1" xfId="0" applyBorder="1" applyAlignment="1">
      <alignment horizontal="center" vertical="center"/>
    </xf>
    <xf numFmtId="0" fontId="5" fillId="2" borderId="115" xfId="0" applyFont="1" applyFill="1" applyBorder="1" applyAlignment="1">
      <alignment horizontal="center" vertical="center" shrinkToFit="1"/>
    </xf>
    <xf numFmtId="0" fontId="3" fillId="8" borderId="102" xfId="0" applyFont="1" applyFill="1" applyBorder="1" applyAlignment="1">
      <alignment horizontal="center" vertical="center"/>
    </xf>
    <xf numFmtId="0" fontId="5" fillId="33" borderId="22" xfId="0" applyFont="1" applyFill="1" applyBorder="1" applyAlignment="1">
      <alignment horizontal="center" vertical="center" shrinkToFit="1"/>
    </xf>
    <xf numFmtId="0" fontId="5" fillId="22" borderId="22" xfId="0" applyFont="1" applyFill="1" applyBorder="1" applyAlignment="1">
      <alignment horizontal="center" vertical="center" shrinkToFit="1"/>
    </xf>
    <xf numFmtId="0" fontId="3" fillId="15" borderId="17" xfId="0" applyFont="1" applyFill="1" applyBorder="1" applyAlignment="1">
      <alignment horizontal="center" vertical="center" shrinkToFit="1"/>
    </xf>
    <xf numFmtId="0" fontId="11" fillId="9" borderId="1" xfId="0" applyFont="1" applyFill="1" applyBorder="1" applyAlignment="1">
      <alignment horizontal="center" vertical="center"/>
    </xf>
    <xf numFmtId="0" fontId="13" fillId="9" borderId="1" xfId="0" applyFont="1" applyFill="1" applyBorder="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4" xfId="0" applyBorder="1" applyAlignment="1">
      <alignment vertical="center"/>
    </xf>
    <xf numFmtId="0" fontId="16" fillId="0" borderId="0" xfId="0" applyFont="1" applyAlignment="1">
      <alignment horizontal="lef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1" xfId="0" applyFill="1" applyBorder="1" applyAlignment="1">
      <alignment horizontal="center" vertical="center"/>
    </xf>
    <xf numFmtId="0" fontId="7" fillId="17" borderId="12" xfId="0" applyFont="1" applyFill="1" applyBorder="1" applyAlignment="1">
      <alignment horizontal="center" vertical="center" shrinkToFit="1"/>
    </xf>
    <xf numFmtId="0" fontId="2" fillId="5" borderId="1"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1" xfId="0" applyFill="1" applyBorder="1" applyAlignment="1">
      <alignment horizontal="center" vertical="center"/>
    </xf>
    <xf numFmtId="0" fontId="0" fillId="9" borderId="2" xfId="0" applyFill="1" applyBorder="1" applyAlignment="1">
      <alignment horizontal="center" vertical="center"/>
    </xf>
    <xf numFmtId="0" fontId="0" fillId="9" borderId="11" xfId="0" applyFill="1" applyBorder="1" applyAlignment="1">
      <alignment horizontal="center" vertical="center"/>
    </xf>
    <xf numFmtId="0" fontId="0" fillId="9" borderId="2"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3" fillId="8" borderId="101" xfId="0" applyFont="1" applyFill="1" applyBorder="1" applyAlignment="1">
      <alignment horizontal="center" vertical="center"/>
    </xf>
    <xf numFmtId="0" fontId="62" fillId="9" borderId="1" xfId="0" applyFont="1" applyFill="1" applyBorder="1" applyAlignment="1">
      <alignment horizontal="center" vertical="center"/>
    </xf>
    <xf numFmtId="0" fontId="10" fillId="7" borderId="90" xfId="0" applyFont="1" applyFill="1" applyBorder="1" applyAlignment="1">
      <alignment horizontal="center" vertical="center" wrapText="1"/>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1" xfId="0" applyFill="1" applyBorder="1" applyAlignment="1">
      <alignment horizontal="center" vertical="center"/>
    </xf>
    <xf numFmtId="0" fontId="0" fillId="9" borderId="2" xfId="0" applyFill="1" applyBorder="1" applyAlignment="1">
      <alignment horizontal="center" vertical="center"/>
    </xf>
    <xf numFmtId="0" fontId="7" fillId="17" borderId="12" xfId="0" applyFont="1" applyFill="1" applyBorder="1" applyAlignment="1">
      <alignment horizontal="center" vertical="center" shrinkToFit="1"/>
    </xf>
    <xf numFmtId="0" fontId="5" fillId="20" borderId="20" xfId="0" applyFont="1" applyFill="1" applyBorder="1" applyAlignment="1">
      <alignment horizontal="center" vertical="center" wrapText="1"/>
    </xf>
    <xf numFmtId="0" fontId="4" fillId="19" borderId="41" xfId="0" applyFont="1" applyFill="1" applyBorder="1" applyAlignment="1">
      <alignment horizontal="center" vertical="center" wrapText="1"/>
    </xf>
    <xf numFmtId="0" fontId="3" fillId="0" borderId="21" xfId="0" applyFont="1" applyFill="1" applyBorder="1" applyAlignment="1">
      <alignment horizontal="center" vertical="center"/>
    </xf>
    <xf numFmtId="0" fontId="40" fillId="5" borderId="119" xfId="0" applyFont="1" applyFill="1" applyBorder="1" applyAlignment="1">
      <alignment horizontal="center" vertical="center" wrapText="1" shrinkToFit="1"/>
    </xf>
    <xf numFmtId="0" fontId="39" fillId="5" borderId="66" xfId="0" applyFont="1" applyFill="1" applyBorder="1" applyAlignment="1">
      <alignment horizontal="center" vertical="center"/>
    </xf>
    <xf numFmtId="0" fontId="10" fillId="8" borderId="116" xfId="0" applyFont="1" applyFill="1" applyBorder="1" applyAlignment="1">
      <alignment horizontal="center" vertical="center" wrapText="1"/>
    </xf>
    <xf numFmtId="0" fontId="0" fillId="0" borderId="0" xfId="0">
      <alignment vertical="center"/>
    </xf>
    <xf numFmtId="0" fontId="17" fillId="19" borderId="33" xfId="0" applyFont="1" applyFill="1" applyBorder="1" applyAlignment="1">
      <alignment horizontal="center" vertical="center" wrapText="1"/>
    </xf>
    <xf numFmtId="0" fontId="17" fillId="19" borderId="20" xfId="0" applyFont="1" applyFill="1" applyBorder="1" applyAlignment="1">
      <alignment horizontal="center" vertical="center" wrapText="1"/>
    </xf>
    <xf numFmtId="0" fontId="0" fillId="0" borderId="0" xfId="0">
      <alignment vertical="center"/>
    </xf>
    <xf numFmtId="49" fontId="56" fillId="0" borderId="46" xfId="0" applyNumberFormat="1" applyFont="1" applyFill="1" applyBorder="1" applyAlignment="1">
      <alignment horizontal="center" vertical="center"/>
    </xf>
    <xf numFmtId="49" fontId="56" fillId="0" borderId="109" xfId="0" applyNumberFormat="1" applyFont="1" applyFill="1" applyBorder="1" applyAlignment="1">
      <alignment horizontal="center" vertical="center"/>
    </xf>
    <xf numFmtId="49" fontId="56" fillId="0" borderId="105" xfId="0" applyNumberFormat="1" applyFont="1" applyFill="1" applyBorder="1" applyAlignment="1">
      <alignment horizontal="center" vertical="center"/>
    </xf>
    <xf numFmtId="0" fontId="14" fillId="28" borderId="99" xfId="0" applyFont="1" applyFill="1" applyBorder="1" applyAlignment="1">
      <alignment horizontal="center" vertical="center" shrinkToFit="1"/>
    </xf>
    <xf numFmtId="0" fontId="14" fillId="28" borderId="23" xfId="0" applyFont="1" applyFill="1" applyBorder="1" applyAlignment="1">
      <alignment horizontal="center" vertical="center" shrinkToFit="1"/>
    </xf>
    <xf numFmtId="0" fontId="14" fillId="28" borderId="21" xfId="0" applyFont="1" applyFill="1" applyBorder="1" applyAlignment="1">
      <alignment horizontal="center" vertical="center" shrinkToFit="1"/>
    </xf>
    <xf numFmtId="0" fontId="48" fillId="0" borderId="99" xfId="0" applyFont="1" applyBorder="1" applyAlignment="1">
      <alignment horizontal="center" vertical="center" shrinkToFit="1"/>
    </xf>
    <xf numFmtId="0" fontId="48" fillId="0" borderId="23" xfId="0" applyFont="1" applyBorder="1" applyAlignment="1">
      <alignment horizontal="center" vertical="center" shrinkToFit="1"/>
    </xf>
    <xf numFmtId="0" fontId="48" fillId="0" borderId="21" xfId="0" applyFont="1" applyBorder="1" applyAlignment="1">
      <alignment horizontal="center" vertical="center" shrinkToFit="1"/>
    </xf>
    <xf numFmtId="0" fontId="48" fillId="31" borderId="46" xfId="0" applyFont="1" applyFill="1" applyBorder="1" applyAlignment="1">
      <alignment horizontal="center" vertical="center" shrinkToFit="1"/>
    </xf>
    <xf numFmtId="0" fontId="48" fillId="31" borderId="103" xfId="0" applyFont="1" applyFill="1" applyBorder="1" applyAlignment="1">
      <alignment horizontal="center" vertical="center" shrinkToFit="1"/>
    </xf>
    <xf numFmtId="0" fontId="48" fillId="5" borderId="104" xfId="0" applyFont="1" applyFill="1" applyBorder="1" applyAlignment="1">
      <alignment horizontal="center" vertical="center" shrinkToFit="1"/>
    </xf>
    <xf numFmtId="0" fontId="48" fillId="5" borderId="105" xfId="0" applyFont="1" applyFill="1" applyBorder="1" applyAlignment="1">
      <alignment horizontal="center" vertical="center" shrinkToFit="1"/>
    </xf>
    <xf numFmtId="0" fontId="48" fillId="0" borderId="46" xfId="0" applyFont="1" applyFill="1" applyBorder="1" applyAlignment="1">
      <alignment horizontal="center" vertical="center" shrinkToFit="1"/>
    </xf>
    <xf numFmtId="0" fontId="48" fillId="0" borderId="103" xfId="0" applyFont="1" applyFill="1" applyBorder="1" applyAlignment="1">
      <alignment horizontal="center" vertical="center" shrinkToFit="1"/>
    </xf>
    <xf numFmtId="0" fontId="48" fillId="0" borderId="104" xfId="0" applyFont="1" applyFill="1" applyBorder="1" applyAlignment="1">
      <alignment horizontal="center" vertical="center" shrinkToFit="1"/>
    </xf>
    <xf numFmtId="0" fontId="48" fillId="0" borderId="105" xfId="0" applyFont="1" applyFill="1" applyBorder="1" applyAlignment="1">
      <alignment horizontal="center" vertical="center" shrinkToFit="1"/>
    </xf>
    <xf numFmtId="0" fontId="48" fillId="28" borderId="99" xfId="0" applyFont="1" applyFill="1" applyBorder="1" applyAlignment="1">
      <alignment horizontal="center" vertical="center" shrinkToFit="1"/>
    </xf>
    <xf numFmtId="0" fontId="48" fillId="28" borderId="23" xfId="0" applyFont="1" applyFill="1" applyBorder="1" applyAlignment="1">
      <alignment horizontal="center" vertical="center" shrinkToFit="1"/>
    </xf>
    <xf numFmtId="0" fontId="48" fillId="28" borderId="21" xfId="0" applyFont="1" applyFill="1" applyBorder="1" applyAlignment="1">
      <alignment horizontal="center" vertical="center" shrinkToFit="1"/>
    </xf>
    <xf numFmtId="0" fontId="48" fillId="29" borderId="108" xfId="0" applyFont="1" applyFill="1" applyBorder="1" applyAlignment="1">
      <alignment horizontal="center" vertical="center" shrinkToFit="1"/>
    </xf>
    <xf numFmtId="0" fontId="48" fillId="29" borderId="62" xfId="0" applyFont="1" applyFill="1" applyBorder="1" applyAlignment="1">
      <alignment horizontal="center" vertical="center" shrinkToFit="1"/>
    </xf>
    <xf numFmtId="0" fontId="48" fillId="29" borderId="63" xfId="0" applyFont="1" applyFill="1" applyBorder="1" applyAlignment="1">
      <alignment horizontal="center" vertical="center" shrinkToFit="1"/>
    </xf>
    <xf numFmtId="0" fontId="48" fillId="32" borderId="104" xfId="0" applyFont="1" applyFill="1" applyBorder="1" applyAlignment="1">
      <alignment horizontal="center" vertical="center" shrinkToFit="1"/>
    </xf>
    <xf numFmtId="0" fontId="48" fillId="32" borderId="105" xfId="0" applyFont="1" applyFill="1" applyBorder="1" applyAlignment="1">
      <alignment horizontal="center" vertical="center" shrinkToFit="1"/>
    </xf>
    <xf numFmtId="0" fontId="48" fillId="29" borderId="99" xfId="0" applyFont="1" applyFill="1" applyBorder="1" applyAlignment="1">
      <alignment horizontal="center" vertical="center" shrinkToFit="1"/>
    </xf>
    <xf numFmtId="0" fontId="48" fillId="29" borderId="23" xfId="0" applyFont="1" applyFill="1" applyBorder="1" applyAlignment="1">
      <alignment horizontal="center" vertical="center" shrinkToFit="1"/>
    </xf>
    <xf numFmtId="0" fontId="48" fillId="29" borderId="21" xfId="0" applyFont="1" applyFill="1" applyBorder="1" applyAlignment="1">
      <alignment horizontal="center" vertical="center" shrinkToFit="1"/>
    </xf>
    <xf numFmtId="0" fontId="9" fillId="5" borderId="104" xfId="0" applyFont="1" applyFill="1" applyBorder="1" applyAlignment="1">
      <alignment horizontal="center" vertical="center" shrinkToFit="1"/>
    </xf>
    <xf numFmtId="0" fontId="9" fillId="5" borderId="105" xfId="0" applyFont="1" applyFill="1" applyBorder="1" applyAlignment="1">
      <alignment horizontal="center" vertical="center" shrinkToFit="1"/>
    </xf>
    <xf numFmtId="0" fontId="41" fillId="30" borderId="104" xfId="0" applyFont="1" applyFill="1" applyBorder="1" applyAlignment="1">
      <alignment horizontal="center" vertical="center" shrinkToFit="1"/>
    </xf>
    <xf numFmtId="0" fontId="41" fillId="30" borderId="105" xfId="0" applyFont="1" applyFill="1" applyBorder="1" applyAlignment="1">
      <alignment horizontal="center" vertical="center" shrinkToFit="1"/>
    </xf>
    <xf numFmtId="0" fontId="41" fillId="27" borderId="99" xfId="0" applyFont="1" applyFill="1" applyBorder="1" applyAlignment="1">
      <alignment horizontal="center" vertical="center" shrinkToFit="1"/>
    </xf>
    <xf numFmtId="0" fontId="41" fillId="27" borderId="23" xfId="0" applyFont="1" applyFill="1" applyBorder="1" applyAlignment="1">
      <alignment horizontal="center" vertical="center" shrinkToFit="1"/>
    </xf>
    <xf numFmtId="0" fontId="41" fillId="27" borderId="21" xfId="0" applyFont="1" applyFill="1" applyBorder="1" applyAlignment="1">
      <alignment horizontal="center" vertical="center" shrinkToFit="1"/>
    </xf>
    <xf numFmtId="0" fontId="41" fillId="27" borderId="100" xfId="0" applyFont="1" applyFill="1" applyBorder="1" applyAlignment="1">
      <alignment horizontal="center" vertical="center" shrinkToFit="1"/>
    </xf>
    <xf numFmtId="0" fontId="41" fillId="27" borderId="101" xfId="0" applyFont="1" applyFill="1" applyBorder="1" applyAlignment="1">
      <alignment horizontal="center" vertical="center" shrinkToFit="1"/>
    </xf>
    <xf numFmtId="0" fontId="41" fillId="27" borderId="102" xfId="0" applyFont="1" applyFill="1" applyBorder="1" applyAlignment="1">
      <alignment horizontal="center" vertical="center" shrinkToFit="1"/>
    </xf>
    <xf numFmtId="0" fontId="5" fillId="18" borderId="104" xfId="0" applyFont="1" applyFill="1" applyBorder="1" applyAlignment="1">
      <alignment horizontal="center" vertical="center" shrinkToFit="1"/>
    </xf>
    <xf numFmtId="0" fontId="5" fillId="18" borderId="105" xfId="0" applyFont="1" applyFill="1" applyBorder="1" applyAlignment="1">
      <alignment horizontal="center" vertical="center" shrinkToFit="1"/>
    </xf>
    <xf numFmtId="0" fontId="0" fillId="9" borderId="11" xfId="0" applyFill="1" applyBorder="1" applyAlignment="1">
      <alignment horizontal="center" vertical="center"/>
    </xf>
    <xf numFmtId="0" fontId="0" fillId="9" borderId="2" xfId="0" applyFill="1" applyBorder="1" applyAlignment="1">
      <alignment horizontal="center" vertical="center"/>
    </xf>
    <xf numFmtId="0" fontId="0" fillId="9" borderId="12" xfId="0" applyFill="1" applyBorder="1" applyAlignment="1">
      <alignment horizontal="center" vertical="center"/>
    </xf>
    <xf numFmtId="0" fontId="0" fillId="9" borderId="13" xfId="0" applyFill="1" applyBorder="1" applyAlignment="1">
      <alignment horizontal="center" vertical="center"/>
    </xf>
    <xf numFmtId="0" fontId="0" fillId="9" borderId="14" xfId="0" applyFill="1" applyBorder="1" applyAlignment="1">
      <alignment horizontal="center" vertical="center"/>
    </xf>
    <xf numFmtId="0" fontId="2" fillId="5" borderId="12" xfId="0" applyFont="1" applyFill="1" applyBorder="1" applyAlignment="1">
      <alignment horizontal="center" vertical="center" shrinkToFit="1"/>
    </xf>
    <xf numFmtId="0" fontId="19" fillId="5" borderId="13" xfId="0" applyFont="1" applyFill="1" applyBorder="1" applyAlignment="1">
      <alignment horizontal="center" vertical="center" shrinkToFit="1"/>
    </xf>
    <xf numFmtId="0" fontId="19" fillId="5" borderId="14" xfId="0" applyFont="1" applyFill="1" applyBorder="1" applyAlignment="1">
      <alignment horizontal="center" vertical="center" shrinkToFit="1"/>
    </xf>
    <xf numFmtId="0" fontId="0" fillId="9" borderId="1" xfId="0"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19" fillId="5" borderId="1" xfId="0" applyFont="1" applyFill="1" applyBorder="1" applyAlignment="1">
      <alignment horizontal="center" vertical="center"/>
    </xf>
    <xf numFmtId="0" fontId="9" fillId="5" borderId="15" xfId="0" applyFont="1" applyFill="1" applyBorder="1" applyAlignment="1">
      <alignment horizontal="center" vertical="center"/>
    </xf>
    <xf numFmtId="0" fontId="9" fillId="5" borderId="17" xfId="0" applyFont="1" applyFill="1" applyBorder="1" applyAlignment="1">
      <alignment horizontal="center" vertical="center"/>
    </xf>
    <xf numFmtId="0" fontId="2" fillId="5" borderId="13" xfId="0" applyFont="1" applyFill="1" applyBorder="1" applyAlignment="1">
      <alignment horizontal="center" vertical="center" shrinkToFit="1"/>
    </xf>
    <xf numFmtId="0" fontId="2" fillId="5" borderId="14" xfId="0" applyFont="1" applyFill="1" applyBorder="1" applyAlignment="1">
      <alignment horizontal="center" vertical="center" shrinkToFit="1"/>
    </xf>
    <xf numFmtId="0" fontId="42" fillId="0" borderId="0" xfId="0" applyFont="1" applyAlignment="1">
      <alignment horizontal="center" vertical="center"/>
    </xf>
    <xf numFmtId="0" fontId="14" fillId="12" borderId="1" xfId="0" applyFont="1" applyFill="1" applyBorder="1" applyAlignment="1">
      <alignment horizontal="center" vertical="center"/>
    </xf>
    <xf numFmtId="0" fontId="44" fillId="12" borderId="1" xfId="0" applyFont="1" applyFill="1" applyBorder="1" applyAlignment="1">
      <alignment horizontal="center" vertical="center"/>
    </xf>
    <xf numFmtId="0" fontId="14" fillId="12" borderId="3" xfId="0" applyFont="1" applyFill="1" applyBorder="1" applyAlignment="1">
      <alignment horizontal="center" vertical="center"/>
    </xf>
    <xf numFmtId="0" fontId="14" fillId="12" borderId="4" xfId="0" applyFont="1" applyFill="1" applyBorder="1" applyAlignment="1">
      <alignment horizontal="center" vertical="center"/>
    </xf>
    <xf numFmtId="0" fontId="14" fillId="12" borderId="8" xfId="0" applyFont="1" applyFill="1" applyBorder="1" applyAlignment="1">
      <alignment horizontal="center" vertical="center"/>
    </xf>
    <xf numFmtId="0" fontId="14" fillId="12" borderId="9" xfId="0" applyFont="1" applyFill="1" applyBorder="1" applyAlignment="1">
      <alignment horizontal="center" vertical="center"/>
    </xf>
    <xf numFmtId="0" fontId="14" fillId="12" borderId="86" xfId="0" applyFont="1" applyFill="1" applyBorder="1" applyAlignment="1">
      <alignment horizontal="center" vertical="center" wrapText="1"/>
    </xf>
    <xf numFmtId="0" fontId="14" fillId="12" borderId="88"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0" fillId="0" borderId="9" xfId="0" applyBorder="1">
      <alignment vertical="center"/>
    </xf>
    <xf numFmtId="0" fontId="14" fillId="12" borderId="87" xfId="0" applyFont="1" applyFill="1" applyBorder="1" applyAlignment="1">
      <alignment horizontal="center" vertical="center" wrapText="1"/>
    </xf>
    <xf numFmtId="0" fontId="14" fillId="12" borderId="5" xfId="0" applyFont="1" applyFill="1" applyBorder="1" applyAlignment="1">
      <alignment horizontal="center" vertical="center" wrapText="1"/>
    </xf>
    <xf numFmtId="0" fontId="36" fillId="26" borderId="11" xfId="0" applyFont="1" applyFill="1" applyBorder="1" applyAlignment="1">
      <alignment horizontal="center" vertical="center" wrapText="1"/>
    </xf>
    <xf numFmtId="0" fontId="36" fillId="26" borderId="2" xfId="0" applyFont="1" applyFill="1" applyBorder="1" applyAlignment="1">
      <alignment horizontal="center" vertical="center" wrapText="1"/>
    </xf>
    <xf numFmtId="0" fontId="44" fillId="0" borderId="85" xfId="0" applyFont="1" applyBorder="1" applyAlignment="1">
      <alignment horizontal="center" vertical="center"/>
    </xf>
    <xf numFmtId="0" fontId="44" fillId="0" borderId="78" xfId="0" applyFont="1" applyBorder="1" applyAlignment="1">
      <alignment horizontal="center" vertical="center"/>
    </xf>
    <xf numFmtId="0" fontId="44" fillId="0" borderId="94" xfId="0" applyFont="1" applyBorder="1" applyAlignment="1">
      <alignment horizontal="center" vertical="center" wrapText="1"/>
    </xf>
    <xf numFmtId="0" fontId="44" fillId="0" borderId="95" xfId="0" applyFont="1" applyBorder="1" applyAlignment="1">
      <alignment horizontal="center" vertical="center" wrapText="1"/>
    </xf>
    <xf numFmtId="0" fontId="48" fillId="25" borderId="85" xfId="0" applyFont="1" applyFill="1" applyBorder="1" applyAlignment="1">
      <alignment horizontal="center" vertical="center"/>
    </xf>
    <xf numFmtId="0" fontId="48" fillId="25" borderId="78" xfId="0" applyFont="1" applyFill="1" applyBorder="1" applyAlignment="1">
      <alignment horizontal="center" vertical="center"/>
    </xf>
    <xf numFmtId="0" fontId="0" fillId="25" borderId="94" xfId="0" applyFill="1" applyBorder="1" applyAlignment="1">
      <alignment horizontal="center" vertical="center"/>
    </xf>
    <xf numFmtId="0" fontId="0" fillId="25" borderId="78" xfId="0" applyFill="1" applyBorder="1" applyAlignment="1">
      <alignment horizontal="center" vertical="center"/>
    </xf>
    <xf numFmtId="0" fontId="0" fillId="25" borderId="95" xfId="0" applyFill="1" applyBorder="1" applyAlignment="1">
      <alignment horizontal="center" vertical="center"/>
    </xf>
    <xf numFmtId="0" fontId="55" fillId="26" borderId="98" xfId="0" applyFont="1" applyFill="1" applyBorder="1" applyAlignment="1">
      <alignment horizontal="center" vertical="center"/>
    </xf>
    <xf numFmtId="0" fontId="50" fillId="26" borderId="96" xfId="0" applyFont="1" applyFill="1" applyBorder="1" applyAlignment="1">
      <alignment horizontal="center" vertical="center"/>
    </xf>
    <xf numFmtId="0" fontId="50" fillId="26" borderId="97" xfId="0" applyFont="1" applyFill="1" applyBorder="1" applyAlignment="1">
      <alignment horizontal="center" vertical="center"/>
    </xf>
    <xf numFmtId="0" fontId="44" fillId="0" borderId="82" xfId="0" applyFont="1" applyBorder="1" applyAlignment="1">
      <alignment horizontal="center" vertical="center"/>
    </xf>
    <xf numFmtId="0" fontId="44" fillId="0" borderId="83" xfId="0" applyFont="1" applyBorder="1" applyAlignment="1">
      <alignment horizontal="center" vertical="center"/>
    </xf>
    <xf numFmtId="0" fontId="44" fillId="0" borderId="90" xfId="0" applyFont="1" applyBorder="1" applyAlignment="1">
      <alignment horizontal="center" vertical="center" wrapText="1"/>
    </xf>
    <xf numFmtId="0" fontId="44" fillId="0" borderId="91" xfId="0" applyFont="1" applyBorder="1" applyAlignment="1">
      <alignment horizontal="center" vertical="center" wrapText="1"/>
    </xf>
    <xf numFmtId="0" fontId="48" fillId="25" borderId="82" xfId="0" applyFont="1" applyFill="1" applyBorder="1" applyAlignment="1">
      <alignment horizontal="center" vertical="center"/>
    </xf>
    <xf numFmtId="0" fontId="48" fillId="25" borderId="83" xfId="0" applyFont="1" applyFill="1" applyBorder="1" applyAlignment="1">
      <alignment horizontal="center" vertical="center"/>
    </xf>
    <xf numFmtId="0" fontId="0" fillId="25" borderId="90" xfId="0" applyFill="1" applyBorder="1" applyAlignment="1">
      <alignment horizontal="center" vertical="center"/>
    </xf>
    <xf numFmtId="0" fontId="0" fillId="25" borderId="83" xfId="0" applyFill="1" applyBorder="1" applyAlignment="1">
      <alignment horizontal="center" vertical="center"/>
    </xf>
    <xf numFmtId="0" fontId="0" fillId="25" borderId="91" xfId="0" applyFill="1" applyBorder="1" applyAlignment="1">
      <alignment horizontal="center" vertical="center"/>
    </xf>
    <xf numFmtId="0" fontId="48" fillId="12" borderId="1" xfId="0" applyFont="1" applyFill="1" applyBorder="1" applyAlignment="1">
      <alignment horizontal="center" vertical="center"/>
    </xf>
    <xf numFmtId="0" fontId="14" fillId="12" borderId="1" xfId="0" applyFont="1" applyFill="1" applyBorder="1" applyAlignment="1">
      <alignment horizontal="center" vertical="center" wrapText="1"/>
    </xf>
    <xf numFmtId="0" fontId="14" fillId="12" borderId="3" xfId="0" applyFont="1" applyFill="1" applyBorder="1" applyAlignment="1">
      <alignment horizontal="center" vertical="center" wrapText="1"/>
    </xf>
    <xf numFmtId="0" fontId="53" fillId="25" borderId="12" xfId="0" applyFont="1" applyFill="1" applyBorder="1" applyAlignment="1">
      <alignment horizontal="center" vertical="center"/>
    </xf>
    <xf numFmtId="0" fontId="53" fillId="25" borderId="69" xfId="0" applyFont="1" applyFill="1" applyBorder="1" applyAlignment="1">
      <alignment horizontal="center" vertical="center"/>
    </xf>
    <xf numFmtId="0" fontId="53" fillId="25" borderId="44" xfId="0" applyFont="1" applyFill="1" applyBorder="1" applyAlignment="1">
      <alignment horizontal="center" vertical="center"/>
    </xf>
    <xf numFmtId="0" fontId="53" fillId="25" borderId="14" xfId="0" applyFont="1" applyFill="1" applyBorder="1" applyAlignment="1">
      <alignment horizontal="center"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31" fillId="14" borderId="37" xfId="0" applyFont="1" applyFill="1" applyBorder="1" applyAlignment="1">
      <alignment horizontal="center" vertical="center" wrapText="1"/>
    </xf>
    <xf numFmtId="0" fontId="31" fillId="14" borderId="114" xfId="0" applyFont="1" applyFill="1" applyBorder="1" applyAlignment="1">
      <alignment horizontal="center" vertical="center" wrapText="1"/>
    </xf>
    <xf numFmtId="0" fontId="14" fillId="0" borderId="0" xfId="0" applyFont="1" applyBorder="1" applyAlignment="1">
      <alignment horizontal="left" vertical="center"/>
    </xf>
    <xf numFmtId="0" fontId="0" fillId="0" borderId="0" xfId="0" applyAlignment="1">
      <alignment horizontal="left" vertical="center"/>
    </xf>
    <xf numFmtId="0" fontId="31" fillId="0" borderId="19" xfId="0" applyFont="1" applyFill="1" applyBorder="1" applyAlignment="1">
      <alignment horizontal="center" vertical="center" wrapText="1" shrinkToFit="1"/>
    </xf>
    <xf numFmtId="0" fontId="31" fillId="0" borderId="53" xfId="0" applyFont="1" applyFill="1" applyBorder="1" applyAlignment="1">
      <alignment horizontal="center" vertical="center" wrapText="1" shrinkToFit="1"/>
    </xf>
    <xf numFmtId="0" fontId="31" fillId="0" borderId="57" xfId="0" applyFont="1" applyFill="1" applyBorder="1" applyAlignment="1">
      <alignment horizontal="center" vertical="center" wrapText="1" shrinkToFit="1"/>
    </xf>
    <xf numFmtId="0" fontId="10" fillId="10" borderId="50" xfId="0" applyFont="1" applyFill="1" applyBorder="1" applyAlignment="1">
      <alignment horizontal="center" vertical="center" wrapText="1" shrinkToFit="1"/>
    </xf>
    <xf numFmtId="0" fontId="10" fillId="10" borderId="55" xfId="0" applyFont="1" applyFill="1" applyBorder="1" applyAlignment="1">
      <alignment horizontal="center" vertical="center" wrapText="1" shrinkToFit="1"/>
    </xf>
    <xf numFmtId="0" fontId="10" fillId="10" borderId="51" xfId="0" applyFont="1" applyFill="1" applyBorder="1" applyAlignment="1">
      <alignment horizontal="center" vertical="center" wrapText="1" shrinkToFit="1"/>
    </xf>
    <xf numFmtId="0" fontId="7" fillId="6" borderId="12" xfId="0" applyFont="1" applyFill="1" applyBorder="1" applyAlignment="1">
      <alignment horizontal="center" vertical="center" shrinkToFit="1"/>
    </xf>
    <xf numFmtId="0" fontId="7" fillId="6" borderId="13" xfId="0" applyFont="1" applyFill="1" applyBorder="1" applyAlignment="1">
      <alignment horizontal="center" vertical="center" shrinkToFit="1"/>
    </xf>
    <xf numFmtId="0" fontId="7" fillId="6" borderId="14" xfId="0" applyFont="1" applyFill="1" applyBorder="1" applyAlignment="1">
      <alignment horizontal="center" vertical="center" shrinkToFit="1"/>
    </xf>
    <xf numFmtId="0" fontId="5" fillId="6" borderId="15" xfId="0" applyFont="1" applyFill="1" applyBorder="1" applyAlignment="1">
      <alignment horizontal="center" vertical="center" shrinkToFit="1"/>
    </xf>
    <xf numFmtId="0" fontId="5" fillId="6" borderId="16" xfId="0" applyFont="1" applyFill="1" applyBorder="1" applyAlignment="1">
      <alignment horizontal="center" vertical="center" shrinkToFit="1"/>
    </xf>
    <xf numFmtId="0" fontId="31" fillId="11" borderId="48" xfId="0" applyFont="1" applyFill="1" applyBorder="1" applyAlignment="1">
      <alignment horizontal="center" vertical="center" wrapText="1"/>
    </xf>
    <xf numFmtId="0" fontId="31" fillId="11" borderId="49" xfId="0" applyFont="1" applyFill="1" applyBorder="1" applyAlignment="1">
      <alignment horizontal="center" vertical="center" wrapText="1"/>
    </xf>
    <xf numFmtId="0" fontId="13" fillId="0" borderId="0" xfId="0" applyFont="1" applyBorder="1" applyAlignment="1">
      <alignment horizontal="left" vertical="center"/>
    </xf>
    <xf numFmtId="0" fontId="0" fillId="0" borderId="0" xfId="0" applyAlignment="1">
      <alignment horizontal="left" vertical="center" wrapText="1"/>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20" fillId="0" borderId="6" xfId="0" applyFont="1" applyBorder="1" applyAlignment="1">
      <alignment horizontal="left" vertical="center"/>
    </xf>
    <xf numFmtId="0" fontId="20" fillId="0" borderId="0" xfId="0" applyFont="1" applyBorder="1" applyAlignment="1">
      <alignment horizontal="left" vertical="center"/>
    </xf>
    <xf numFmtId="0" fontId="20" fillId="0" borderId="7" xfId="0" applyFont="1"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7" fillId="6" borderId="12" xfId="0" applyFont="1" applyFill="1" applyBorder="1" applyAlignment="1">
      <alignment horizontal="center" vertical="center"/>
    </xf>
    <xf numFmtId="0" fontId="7" fillId="6" borderId="14" xfId="0" applyFont="1" applyFill="1" applyBorder="1" applyAlignment="1">
      <alignment horizontal="center" vertical="center"/>
    </xf>
    <xf numFmtId="0" fontId="8" fillId="6" borderId="12" xfId="0" applyFont="1" applyFill="1" applyBorder="1" applyAlignment="1">
      <alignment horizontal="center" vertical="center"/>
    </xf>
    <xf numFmtId="0" fontId="8" fillId="6" borderId="14" xfId="0" applyFont="1" applyFill="1" applyBorder="1" applyAlignment="1">
      <alignment horizontal="center" vertical="center"/>
    </xf>
    <xf numFmtId="0" fontId="7" fillId="6" borderId="1" xfId="0" applyFont="1" applyFill="1" applyBorder="1" applyAlignment="1">
      <alignment horizontal="left" vertical="center"/>
    </xf>
    <xf numFmtId="0" fontId="13" fillId="0" borderId="0" xfId="0" applyFont="1" applyAlignment="1">
      <alignment horizontal="left" vertical="center"/>
    </xf>
    <xf numFmtId="0" fontId="20" fillId="5" borderId="82" xfId="0" applyFont="1" applyFill="1" applyBorder="1" applyAlignment="1">
      <alignment horizontal="center" vertical="center" wrapText="1" shrinkToFit="1"/>
    </xf>
    <xf numFmtId="0" fontId="20" fillId="5" borderId="91" xfId="0" applyFont="1" applyFill="1" applyBorder="1" applyAlignment="1">
      <alignment horizontal="center" vertical="center" wrapText="1" shrinkToFit="1"/>
    </xf>
    <xf numFmtId="0" fontId="17" fillId="24" borderId="66" xfId="0" applyFont="1" applyFill="1" applyBorder="1" applyAlignment="1">
      <alignment horizontal="center" vertical="center" shrinkToFit="1"/>
    </xf>
    <xf numFmtId="0" fontId="17" fillId="24" borderId="65" xfId="0" applyFont="1" applyFill="1" applyBorder="1" applyAlignment="1">
      <alignment horizontal="center" vertical="center" shrinkToFit="1"/>
    </xf>
    <xf numFmtId="0" fontId="31" fillId="0" borderId="117" xfId="0" applyFont="1" applyFill="1" applyBorder="1" applyAlignment="1">
      <alignment horizontal="center" vertical="center" wrapText="1" shrinkToFit="1"/>
    </xf>
    <xf numFmtId="0" fontId="31" fillId="0" borderId="118" xfId="0" applyFont="1" applyFill="1" applyBorder="1" applyAlignment="1">
      <alignment horizontal="center" vertical="center" wrapText="1" shrinkToFit="1"/>
    </xf>
    <xf numFmtId="0" fontId="4" fillId="24" borderId="8" xfId="0" applyFont="1" applyFill="1" applyBorder="1" applyAlignment="1">
      <alignment horizontal="center" vertical="center" shrinkToFit="1"/>
    </xf>
    <xf numFmtId="0" fontId="4" fillId="24" borderId="10" xfId="0" applyFont="1" applyFill="1" applyBorder="1" applyAlignment="1">
      <alignment horizontal="center" vertical="center" shrinkToFit="1"/>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6" fillId="0" borderId="8" xfId="0" applyFont="1" applyBorder="1" applyAlignment="1">
      <alignment horizontal="left" vertical="center" wrapText="1"/>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17" fillId="0" borderId="6" xfId="0" applyFont="1" applyBorder="1" applyAlignment="1">
      <alignment horizontal="left" vertical="center"/>
    </xf>
    <xf numFmtId="0" fontId="17" fillId="0" borderId="0" xfId="0" applyFont="1" applyBorder="1" applyAlignment="1">
      <alignment horizontal="left" vertical="center"/>
    </xf>
    <xf numFmtId="0" fontId="17" fillId="0" borderId="7" xfId="0" applyFont="1" applyBorder="1" applyAlignment="1">
      <alignment horizontal="left" vertical="center"/>
    </xf>
    <xf numFmtId="0" fontId="41" fillId="6" borderId="1" xfId="0" applyFont="1" applyFill="1" applyBorder="1" applyAlignment="1">
      <alignment horizontal="left" vertical="center"/>
    </xf>
    <xf numFmtId="0" fontId="16" fillId="0" borderId="6" xfId="0" applyFont="1" applyBorder="1" applyAlignment="1">
      <alignment horizontal="left" vertical="center" wrapText="1"/>
    </xf>
    <xf numFmtId="0" fontId="13" fillId="0" borderId="6" xfId="0" applyFont="1" applyBorder="1" applyAlignment="1">
      <alignment horizontal="left" vertical="center" wrapText="1"/>
    </xf>
    <xf numFmtId="0" fontId="16" fillId="0" borderId="3" xfId="0" applyFont="1" applyBorder="1" applyAlignment="1">
      <alignment horizontal="left" vertical="center" wrapText="1"/>
    </xf>
    <xf numFmtId="0" fontId="33" fillId="0" borderId="6" xfId="0" applyFont="1" applyBorder="1" applyAlignment="1">
      <alignment horizontal="center" vertical="center"/>
    </xf>
    <xf numFmtId="0" fontId="33" fillId="0" borderId="0" xfId="0" applyFont="1" applyBorder="1" applyAlignment="1">
      <alignment horizontal="center" vertical="center"/>
    </xf>
    <xf numFmtId="0" fontId="33" fillId="0" borderId="7" xfId="0" applyFont="1" applyBorder="1" applyAlignment="1">
      <alignment horizontal="center" vertical="center"/>
    </xf>
    <xf numFmtId="0" fontId="5" fillId="18" borderId="12" xfId="0" applyFont="1" applyFill="1" applyBorder="1" applyAlignment="1">
      <alignment horizontal="left" vertical="center" shrinkToFit="1"/>
    </xf>
    <xf numFmtId="0" fontId="5" fillId="18" borderId="14" xfId="0" applyFont="1" applyFill="1" applyBorder="1" applyAlignment="1">
      <alignment horizontal="left" vertical="center" shrinkToFit="1"/>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3" fillId="0" borderId="14" xfId="0" applyFont="1" applyBorder="1" applyAlignment="1">
      <alignment horizontal="left"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7" xfId="0" applyFont="1" applyBorder="1" applyAlignment="1">
      <alignment horizontal="lef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16" fillId="0" borderId="12" xfId="0" applyFont="1" applyBorder="1" applyAlignment="1">
      <alignment horizontal="left" vertical="center"/>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0" fillId="0" borderId="6" xfId="0" applyFont="1" applyBorder="1" applyAlignment="1">
      <alignment horizontal="left" vertical="center"/>
    </xf>
    <xf numFmtId="0" fontId="10" fillId="0" borderId="0" xfId="0" applyFont="1" applyBorder="1" applyAlignment="1">
      <alignment horizontal="left" vertical="center"/>
    </xf>
    <xf numFmtId="0" fontId="10" fillId="0" borderId="7" xfId="0" applyFont="1" applyBorder="1" applyAlignment="1">
      <alignment horizontal="left" vertical="center"/>
    </xf>
    <xf numFmtId="0" fontId="4" fillId="0" borderId="24" xfId="0" applyFont="1" applyFill="1" applyBorder="1" applyAlignment="1">
      <alignment horizontal="center" vertical="center" wrapText="1" shrinkToFit="1"/>
    </xf>
    <xf numFmtId="0" fontId="4" fillId="0" borderId="28" xfId="0" applyFont="1" applyFill="1" applyBorder="1" applyAlignment="1">
      <alignment horizontal="center" vertical="center" shrinkToFit="1"/>
    </xf>
    <xf numFmtId="0" fontId="10" fillId="10" borderId="50" xfId="0" applyFont="1" applyFill="1" applyBorder="1" applyAlignment="1">
      <alignment horizontal="center" vertical="center" shrinkToFit="1"/>
    </xf>
    <xf numFmtId="0" fontId="10" fillId="10" borderId="51" xfId="0" applyFont="1" applyFill="1" applyBorder="1" applyAlignment="1">
      <alignment horizontal="center" vertical="center" shrinkToFit="1"/>
    </xf>
    <xf numFmtId="0" fontId="41" fillId="6" borderId="24" xfId="0" applyFont="1" applyFill="1" applyBorder="1" applyAlignment="1">
      <alignment horizontal="center" vertical="center" shrinkToFit="1"/>
    </xf>
    <xf numFmtId="0" fontId="41" fillId="6" borderId="52" xfId="0" applyFont="1" applyFill="1" applyBorder="1" applyAlignment="1">
      <alignment horizontal="center" vertical="center" shrinkToFit="1"/>
    </xf>
    <xf numFmtId="0" fontId="41" fillId="6" borderId="60" xfId="0" applyFont="1" applyFill="1" applyBorder="1" applyAlignment="1">
      <alignment horizontal="center" vertical="center" shrinkToFit="1"/>
    </xf>
    <xf numFmtId="0" fontId="41" fillId="6" borderId="28" xfId="0" applyFont="1" applyFill="1" applyBorder="1" applyAlignment="1">
      <alignment horizontal="center" vertical="center" shrinkToFit="1"/>
    </xf>
    <xf numFmtId="0" fontId="41" fillId="6" borderId="64" xfId="0" applyFont="1" applyFill="1" applyBorder="1" applyAlignment="1">
      <alignment horizontal="center" vertical="center" shrinkToFit="1"/>
    </xf>
    <xf numFmtId="0" fontId="41" fillId="6" borderId="65" xfId="0" applyFont="1" applyFill="1" applyBorder="1" applyAlignment="1">
      <alignment horizontal="center" vertical="center" shrinkToFit="1"/>
    </xf>
    <xf numFmtId="0" fontId="5" fillId="21" borderId="61" xfId="0" applyFont="1" applyFill="1" applyBorder="1" applyAlignment="1">
      <alignment horizontal="center" vertical="center" wrapText="1"/>
    </xf>
    <xf numFmtId="0" fontId="5" fillId="21" borderId="62" xfId="0" applyFont="1" applyFill="1" applyBorder="1" applyAlignment="1">
      <alignment horizontal="center" vertical="center" wrapText="1"/>
    </xf>
    <xf numFmtId="0" fontId="5" fillId="20" borderId="61" xfId="0" applyFont="1" applyFill="1" applyBorder="1" applyAlignment="1">
      <alignment horizontal="center" vertical="center" wrapText="1"/>
    </xf>
    <xf numFmtId="0" fontId="5" fillId="20" borderId="63" xfId="0" applyFont="1" applyFill="1" applyBorder="1" applyAlignment="1">
      <alignment horizontal="center" vertical="center" wrapText="1"/>
    </xf>
    <xf numFmtId="0" fontId="34" fillId="0" borderId="6"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1" fillId="14" borderId="42" xfId="0" applyFont="1" applyFill="1" applyBorder="1" applyAlignment="1">
      <alignment horizontal="center" vertical="center" wrapText="1"/>
    </xf>
    <xf numFmtId="0" fontId="41" fillId="13" borderId="24" xfId="0" applyFont="1" applyFill="1" applyBorder="1" applyAlignment="1">
      <alignment horizontal="center" vertical="center" shrinkToFit="1"/>
    </xf>
    <xf numFmtId="0" fontId="41" fillId="13" borderId="52" xfId="0" applyFont="1" applyFill="1" applyBorder="1" applyAlignment="1">
      <alignment horizontal="center" vertical="center" shrinkToFit="1"/>
    </xf>
    <xf numFmtId="0" fontId="41" fillId="13" borderId="60" xfId="0" applyFont="1" applyFill="1" applyBorder="1" applyAlignment="1">
      <alignment horizontal="center" vertical="center" shrinkToFit="1"/>
    </xf>
    <xf numFmtId="0" fontId="41" fillId="13" borderId="28" xfId="0" applyFont="1" applyFill="1" applyBorder="1" applyAlignment="1">
      <alignment horizontal="center" vertical="center" shrinkToFit="1"/>
    </xf>
    <xf numFmtId="0" fontId="41" fillId="13" borderId="64" xfId="0" applyFont="1" applyFill="1" applyBorder="1" applyAlignment="1">
      <alignment horizontal="center" vertical="center" shrinkToFit="1"/>
    </xf>
    <xf numFmtId="0" fontId="41" fillId="13" borderId="65" xfId="0" applyFont="1" applyFill="1" applyBorder="1" applyAlignment="1">
      <alignment horizontal="center" vertical="center" shrinkToFit="1"/>
    </xf>
    <xf numFmtId="0" fontId="7" fillId="13" borderId="12" xfId="0" applyFont="1" applyFill="1" applyBorder="1" applyAlignment="1">
      <alignment horizontal="center" vertical="center" shrinkToFit="1"/>
    </xf>
    <xf numFmtId="0" fontId="7" fillId="13" borderId="13" xfId="0" applyFont="1" applyFill="1" applyBorder="1" applyAlignment="1">
      <alignment horizontal="center" vertical="center" shrinkToFit="1"/>
    </xf>
    <xf numFmtId="0" fontId="7" fillId="13" borderId="14" xfId="0" applyFont="1" applyFill="1" applyBorder="1" applyAlignment="1">
      <alignment horizontal="center" vertical="center" shrinkToFi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37" fillId="0" borderId="6" xfId="0" applyFont="1" applyBorder="1" applyAlignment="1">
      <alignment horizontal="center" vertical="center"/>
    </xf>
    <xf numFmtId="0" fontId="37" fillId="0" borderId="0" xfId="0" applyFont="1" applyBorder="1" applyAlignment="1">
      <alignment horizontal="center" vertical="center"/>
    </xf>
    <xf numFmtId="0" fontId="37" fillId="0" borderId="7" xfId="0" applyFont="1" applyBorder="1" applyAlignment="1">
      <alignment horizontal="center" vertical="center"/>
    </xf>
    <xf numFmtId="0" fontId="7" fillId="13" borderId="12" xfId="0" applyFont="1" applyFill="1" applyBorder="1" applyAlignment="1">
      <alignment horizontal="center" vertical="center"/>
    </xf>
    <xf numFmtId="0" fontId="7" fillId="13" borderId="14" xfId="0" applyFont="1" applyFill="1" applyBorder="1" applyAlignment="1">
      <alignment horizontal="center" vertical="center"/>
    </xf>
    <xf numFmtId="0" fontId="8" fillId="13" borderId="12" xfId="0" applyFont="1" applyFill="1" applyBorder="1" applyAlignment="1">
      <alignment horizontal="center" vertical="center"/>
    </xf>
    <xf numFmtId="0" fontId="8" fillId="13" borderId="14" xfId="0" applyFont="1" applyFill="1" applyBorder="1" applyAlignment="1">
      <alignment horizontal="center" vertical="center"/>
    </xf>
    <xf numFmtId="0" fontId="7" fillId="13" borderId="1" xfId="0" applyFont="1" applyFill="1" applyBorder="1" applyAlignment="1">
      <alignment horizontal="left" vertical="center"/>
    </xf>
    <xf numFmtId="0" fontId="16" fillId="0" borderId="8" xfId="0" applyFont="1" applyBorder="1" applyAlignment="1">
      <alignment horizontal="left" vertical="center"/>
    </xf>
    <xf numFmtId="0" fontId="18" fillId="0" borderId="6" xfId="0" applyFont="1" applyBorder="1" applyAlignment="1">
      <alignment horizontal="left" vertical="center"/>
    </xf>
    <xf numFmtId="0" fontId="18" fillId="0" borderId="0" xfId="0" applyFont="1" applyBorder="1" applyAlignment="1">
      <alignment horizontal="left" vertical="center"/>
    </xf>
    <xf numFmtId="0" fontId="18" fillId="0" borderId="7" xfId="0" applyFont="1" applyBorder="1" applyAlignment="1">
      <alignment horizontal="left" vertical="center"/>
    </xf>
    <xf numFmtId="0" fontId="5" fillId="13" borderId="15" xfId="0" applyFont="1" applyFill="1" applyBorder="1" applyAlignment="1">
      <alignment horizontal="center" vertical="center" shrinkToFit="1"/>
    </xf>
    <xf numFmtId="0" fontId="5" fillId="13" borderId="16" xfId="0" applyFont="1" applyFill="1" applyBorder="1" applyAlignment="1">
      <alignment horizontal="center" vertical="center" shrinkToFit="1"/>
    </xf>
    <xf numFmtId="0" fontId="0" fillId="0" borderId="12" xfId="0" applyBorder="1" applyAlignment="1">
      <alignment horizontal="left" vertical="center" shrinkToFit="1"/>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36" fillId="17" borderId="24" xfId="0" applyFont="1" applyFill="1" applyBorder="1" applyAlignment="1">
      <alignment horizontal="center" vertical="center" shrinkToFit="1"/>
    </xf>
    <xf numFmtId="0" fontId="36" fillId="17" borderId="52" xfId="0" applyFont="1" applyFill="1" applyBorder="1" applyAlignment="1">
      <alignment horizontal="center" vertical="center" shrinkToFit="1"/>
    </xf>
    <xf numFmtId="0" fontId="36" fillId="17" borderId="60" xfId="0" applyFont="1" applyFill="1" applyBorder="1" applyAlignment="1">
      <alignment horizontal="center" vertical="center" shrinkToFit="1"/>
    </xf>
    <xf numFmtId="0" fontId="36" fillId="17" borderId="28" xfId="0" applyFont="1" applyFill="1" applyBorder="1" applyAlignment="1">
      <alignment horizontal="center" vertical="center" shrinkToFit="1"/>
    </xf>
    <xf numFmtId="0" fontId="36" fillId="17" borderId="64" xfId="0" applyFont="1" applyFill="1" applyBorder="1" applyAlignment="1">
      <alignment horizontal="center" vertical="center" shrinkToFit="1"/>
    </xf>
    <xf numFmtId="0" fontId="36" fillId="17" borderId="65" xfId="0" applyFont="1" applyFill="1" applyBorder="1" applyAlignment="1">
      <alignment horizontal="center" vertical="center" shrinkToFit="1"/>
    </xf>
    <xf numFmtId="0" fontId="16" fillId="0" borderId="3" xfId="0" quotePrefix="1" applyFont="1" applyBorder="1" applyAlignment="1">
      <alignment horizontal="left" vertical="center"/>
    </xf>
    <xf numFmtId="0" fontId="7" fillId="17" borderId="12" xfId="0" applyFont="1" applyFill="1" applyBorder="1" applyAlignment="1">
      <alignment horizontal="center" vertical="center" shrinkToFit="1"/>
    </xf>
    <xf numFmtId="0" fontId="7" fillId="17" borderId="13" xfId="0" applyFont="1" applyFill="1" applyBorder="1" applyAlignment="1">
      <alignment horizontal="center" vertical="center" shrinkToFit="1"/>
    </xf>
    <xf numFmtId="0" fontId="7" fillId="17" borderId="14" xfId="0" applyFont="1" applyFill="1" applyBorder="1" applyAlignment="1">
      <alignment horizontal="center" vertical="center" shrinkToFit="1"/>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7" fillId="17" borderId="12" xfId="0" applyFont="1" applyFill="1" applyBorder="1" applyAlignment="1">
      <alignment horizontal="center" vertical="center"/>
    </xf>
    <xf numFmtId="0" fontId="7" fillId="17" borderId="14" xfId="0" applyFont="1" applyFill="1" applyBorder="1" applyAlignment="1">
      <alignment horizontal="center" vertical="center"/>
    </xf>
    <xf numFmtId="0" fontId="8" fillId="17" borderId="12" xfId="0" applyFont="1" applyFill="1" applyBorder="1" applyAlignment="1">
      <alignment horizontal="center" vertical="center"/>
    </xf>
    <xf numFmtId="0" fontId="8" fillId="17" borderId="14" xfId="0" applyFont="1" applyFill="1" applyBorder="1" applyAlignment="1">
      <alignment horizontal="center" vertical="center"/>
    </xf>
    <xf numFmtId="0" fontId="7" fillId="17" borderId="1" xfId="0" applyFont="1" applyFill="1" applyBorder="1" applyAlignment="1">
      <alignment horizontal="left" vertical="center"/>
    </xf>
    <xf numFmtId="0" fontId="17" fillId="0" borderId="12" xfId="0" applyFont="1" applyBorder="1" applyAlignment="1">
      <alignment horizontal="left" vertical="center"/>
    </xf>
    <xf numFmtId="0" fontId="17" fillId="0" borderId="13" xfId="0" applyFont="1" applyBorder="1" applyAlignment="1">
      <alignment horizontal="left" vertical="center"/>
    </xf>
    <xf numFmtId="0" fontId="17" fillId="0" borderId="14" xfId="0" applyFont="1" applyBorder="1" applyAlignment="1">
      <alignment horizontal="left" vertical="center"/>
    </xf>
    <xf numFmtId="0" fontId="17" fillId="0" borderId="3" xfId="0" applyFont="1" applyBorder="1" applyAlignment="1">
      <alignment horizontal="left" vertical="center"/>
    </xf>
    <xf numFmtId="0" fontId="38" fillId="0" borderId="6" xfId="0" applyFont="1" applyBorder="1" applyAlignment="1">
      <alignment horizontal="center" vertical="center"/>
    </xf>
    <xf numFmtId="0" fontId="38" fillId="0" borderId="0" xfId="0" applyFont="1" applyBorder="1" applyAlignment="1">
      <alignment horizontal="center" vertical="center"/>
    </xf>
    <xf numFmtId="0" fontId="38" fillId="0" borderId="7" xfId="0" applyFont="1" applyBorder="1" applyAlignment="1">
      <alignment horizontal="center" vertical="center"/>
    </xf>
    <xf numFmtId="0" fontId="35" fillId="6" borderId="12" xfId="0" applyFont="1" applyFill="1" applyBorder="1" applyAlignment="1">
      <alignment horizontal="center" vertical="center" shrinkToFit="1"/>
    </xf>
    <xf numFmtId="0" fontId="35" fillId="6" borderId="14" xfId="0" applyFont="1" applyFill="1" applyBorder="1" applyAlignment="1">
      <alignment horizontal="center" vertical="center" shrinkToFit="1"/>
    </xf>
    <xf numFmtId="0" fontId="13" fillId="0" borderId="6" xfId="0" applyFont="1" applyFill="1" applyBorder="1" applyAlignment="1">
      <alignment vertical="center"/>
    </xf>
    <xf numFmtId="0" fontId="13" fillId="0" borderId="0" xfId="0" applyFont="1" applyFill="1" applyBorder="1" applyAlignment="1">
      <alignment vertical="center"/>
    </xf>
    <xf numFmtId="0" fontId="13" fillId="0" borderId="7" xfId="0" applyFont="1" applyFill="1" applyBorder="1" applyAlignment="1">
      <alignment vertical="center"/>
    </xf>
    <xf numFmtId="0" fontId="9" fillId="0" borderId="6" xfId="0" applyFont="1" applyBorder="1" applyAlignment="1">
      <alignment vertical="center"/>
    </xf>
    <xf numFmtId="0" fontId="9" fillId="0" borderId="0" xfId="0" applyFont="1" applyBorder="1" applyAlignment="1">
      <alignment vertical="center"/>
    </xf>
    <xf numFmtId="0" fontId="9" fillId="0" borderId="7" xfId="0" applyFont="1" applyBorder="1" applyAlignment="1">
      <alignment vertical="center"/>
    </xf>
    <xf numFmtId="0" fontId="0" fillId="0" borderId="6" xfId="0" applyFill="1" applyBorder="1" applyAlignment="1">
      <alignment vertical="center"/>
    </xf>
    <xf numFmtId="0" fontId="0" fillId="0" borderId="0" xfId="0" applyFill="1" applyBorder="1" applyAlignment="1">
      <alignment vertical="center"/>
    </xf>
    <xf numFmtId="0" fontId="0" fillId="0" borderId="7" xfId="0" applyFill="1" applyBorder="1" applyAlignment="1">
      <alignment vertical="center"/>
    </xf>
    <xf numFmtId="0" fontId="9" fillId="0" borderId="6" xfId="0" applyFont="1" applyFill="1" applyBorder="1" applyAlignment="1">
      <alignment vertical="center"/>
    </xf>
    <xf numFmtId="0" fontId="9" fillId="0" borderId="0" xfId="0" applyFont="1" applyFill="1" applyBorder="1" applyAlignment="1">
      <alignment vertical="center"/>
    </xf>
    <xf numFmtId="0" fontId="9" fillId="0" borderId="7" xfId="0" applyFont="1" applyFill="1" applyBorder="1" applyAlignment="1">
      <alignment vertical="center"/>
    </xf>
    <xf numFmtId="0" fontId="17" fillId="0" borderId="6" xfId="0" applyFont="1" applyBorder="1" applyAlignment="1">
      <alignment vertical="center"/>
    </xf>
    <xf numFmtId="0" fontId="17" fillId="0" borderId="0" xfId="0" applyFont="1" applyBorder="1" applyAlignment="1">
      <alignment vertical="center"/>
    </xf>
    <xf numFmtId="0" fontId="17" fillId="0" borderId="7" xfId="0" applyFont="1" applyBorder="1" applyAlignment="1">
      <alignment vertical="center"/>
    </xf>
    <xf numFmtId="0" fontId="16" fillId="0" borderId="12" xfId="0" applyFont="1" applyFill="1" applyBorder="1" applyAlignment="1">
      <alignment horizontal="left" vertical="center"/>
    </xf>
    <xf numFmtId="0" fontId="16" fillId="0" borderId="13" xfId="0" applyFont="1" applyFill="1" applyBorder="1" applyAlignment="1">
      <alignment horizontal="left" vertical="center"/>
    </xf>
    <xf numFmtId="0" fontId="16" fillId="0" borderId="14" xfId="0" applyFont="1" applyFill="1" applyBorder="1" applyAlignment="1">
      <alignment horizontal="left" vertical="center"/>
    </xf>
    <xf numFmtId="0" fontId="34" fillId="0" borderId="6" xfId="0" applyFont="1" applyBorder="1" applyAlignment="1">
      <alignment horizontal="center" vertical="center"/>
    </xf>
    <xf numFmtId="0" fontId="34" fillId="0" borderId="0" xfId="0" applyFont="1" applyBorder="1" applyAlignment="1">
      <alignment horizontal="center" vertical="center"/>
    </xf>
    <xf numFmtId="0" fontId="34" fillId="0" borderId="7" xfId="0" applyFont="1" applyBorder="1" applyAlignment="1">
      <alignment horizontal="center" vertical="center"/>
    </xf>
    <xf numFmtId="0" fontId="25" fillId="0" borderId="6" xfId="0" applyFont="1" applyBorder="1" applyAlignment="1">
      <alignment horizontal="left" vertical="center"/>
    </xf>
    <xf numFmtId="0" fontId="25" fillId="0" borderId="0" xfId="0" applyFont="1" applyBorder="1" applyAlignment="1">
      <alignment horizontal="left" vertical="center"/>
    </xf>
    <xf numFmtId="0" fontId="25" fillId="0" borderId="7" xfId="0" applyFont="1" applyBorder="1" applyAlignment="1">
      <alignment horizontal="left" vertical="center"/>
    </xf>
    <xf numFmtId="0" fontId="35" fillId="13" borderId="12" xfId="0" applyFont="1" applyFill="1" applyBorder="1" applyAlignment="1">
      <alignment horizontal="center" vertical="center" shrinkToFit="1"/>
    </xf>
    <xf numFmtId="0" fontId="35" fillId="13" borderId="14" xfId="0" applyFont="1" applyFill="1" applyBorder="1" applyAlignment="1">
      <alignment horizontal="center" vertical="center" shrinkToFit="1"/>
    </xf>
    <xf numFmtId="0" fontId="26" fillId="0" borderId="6" xfId="0" applyFont="1" applyBorder="1" applyAlignment="1">
      <alignment horizontal="left" vertical="center"/>
    </xf>
    <xf numFmtId="0" fontId="26" fillId="0" borderId="0" xfId="0" applyFont="1" applyBorder="1" applyAlignment="1">
      <alignment horizontal="left" vertical="center"/>
    </xf>
    <xf numFmtId="0" fontId="26" fillId="0" borderId="7" xfId="0" applyFont="1" applyBorder="1" applyAlignment="1">
      <alignment horizontal="left" vertical="center"/>
    </xf>
    <xf numFmtId="0" fontId="13" fillId="0" borderId="6" xfId="0" applyFont="1" applyFill="1" applyBorder="1" applyAlignment="1">
      <alignment horizontal="left" vertical="center"/>
    </xf>
    <xf numFmtId="0" fontId="13" fillId="0" borderId="0" xfId="0" applyFont="1" applyFill="1" applyBorder="1" applyAlignment="1">
      <alignment horizontal="left" vertical="center"/>
    </xf>
    <xf numFmtId="0" fontId="13" fillId="0" borderId="7" xfId="0" applyFont="1" applyFill="1" applyBorder="1" applyAlignment="1">
      <alignment horizontal="left" vertical="center"/>
    </xf>
    <xf numFmtId="0" fontId="21" fillId="0" borderId="6" xfId="0" applyFont="1" applyBorder="1" applyAlignment="1">
      <alignment horizontal="left" vertical="center"/>
    </xf>
    <xf numFmtId="0" fontId="21" fillId="0" borderId="0" xfId="0" applyFont="1" applyBorder="1" applyAlignment="1">
      <alignment horizontal="left" vertical="center"/>
    </xf>
    <xf numFmtId="0" fontId="21" fillId="0" borderId="7" xfId="0" applyFont="1" applyBorder="1" applyAlignment="1">
      <alignment horizontal="left" vertical="center"/>
    </xf>
    <xf numFmtId="0" fontId="15" fillId="0" borderId="6" xfId="0" applyFont="1" applyBorder="1" applyAlignment="1">
      <alignment horizontal="left" vertical="center"/>
    </xf>
    <xf numFmtId="0" fontId="15" fillId="0" borderId="0" xfId="0" applyFont="1" applyBorder="1" applyAlignment="1">
      <alignment horizontal="left" vertical="center"/>
    </xf>
    <xf numFmtId="0" fontId="15" fillId="0" borderId="7" xfId="0" applyFont="1" applyBorder="1" applyAlignment="1">
      <alignment horizontal="left" vertical="center"/>
    </xf>
    <xf numFmtId="0" fontId="36" fillId="13" borderId="12" xfId="0" applyFont="1" applyFill="1" applyBorder="1" applyAlignment="1">
      <alignment horizontal="center" vertical="center" shrinkToFit="1"/>
    </xf>
    <xf numFmtId="0" fontId="36" fillId="13" borderId="14" xfId="0" applyFont="1" applyFill="1" applyBorder="1" applyAlignment="1">
      <alignment horizontal="center" vertical="center" shrinkToFit="1"/>
    </xf>
    <xf numFmtId="0" fontId="59" fillId="18" borderId="12" xfId="0" applyFont="1" applyFill="1" applyBorder="1" applyAlignment="1">
      <alignment horizontal="left" vertical="center"/>
    </xf>
    <xf numFmtId="0" fontId="60" fillId="18" borderId="13" xfId="0" applyFont="1" applyFill="1" applyBorder="1" applyAlignment="1">
      <alignment horizontal="left" vertical="center"/>
    </xf>
    <xf numFmtId="0" fontId="60" fillId="18" borderId="14" xfId="0" applyFont="1" applyFill="1" applyBorder="1" applyAlignment="1">
      <alignment horizontal="left" vertical="center"/>
    </xf>
    <xf numFmtId="0" fontId="61" fillId="0" borderId="6" xfId="0" applyFont="1" applyBorder="1" applyAlignment="1">
      <alignment horizontal="center"/>
    </xf>
    <xf numFmtId="0" fontId="61" fillId="0" borderId="0" xfId="0" applyFont="1" applyBorder="1" applyAlignment="1">
      <alignment horizontal="center"/>
    </xf>
    <xf numFmtId="0" fontId="61" fillId="0" borderId="7" xfId="0" applyFont="1" applyBorder="1" applyAlignment="1">
      <alignment horizontal="center"/>
    </xf>
    <xf numFmtId="0" fontId="61" fillId="0" borderId="6" xfId="0" applyFont="1" applyBorder="1" applyAlignment="1">
      <alignment horizontal="center" vertical="top"/>
    </xf>
    <xf numFmtId="0" fontId="61" fillId="0" borderId="0" xfId="0" applyFont="1" applyBorder="1" applyAlignment="1">
      <alignment horizontal="center" vertical="top"/>
    </xf>
    <xf numFmtId="0" fontId="61" fillId="0" borderId="7" xfId="0" applyFont="1" applyBorder="1" applyAlignment="1">
      <alignment horizontal="center" vertical="top"/>
    </xf>
    <xf numFmtId="0" fontId="5" fillId="22" borderId="61" xfId="0" applyFont="1" applyFill="1" applyBorder="1" applyAlignment="1">
      <alignment horizontal="center" vertical="center" wrapText="1"/>
    </xf>
    <xf numFmtId="0" fontId="5" fillId="22" borderId="63" xfId="0" applyFont="1" applyFill="1" applyBorder="1" applyAlignment="1">
      <alignment horizontal="center" vertical="center" wrapText="1"/>
    </xf>
    <xf numFmtId="0" fontId="4" fillId="0" borderId="15" xfId="0" applyFont="1" applyFill="1" applyBorder="1" applyAlignment="1">
      <alignment horizontal="center" vertical="center" wrapText="1" shrinkToFit="1"/>
    </xf>
    <xf numFmtId="0" fontId="4" fillId="0" borderId="35" xfId="0" applyFont="1" applyFill="1" applyBorder="1" applyAlignment="1">
      <alignment horizontal="center" vertical="center" wrapText="1" shrinkToFit="1"/>
    </xf>
    <xf numFmtId="0" fontId="24" fillId="13" borderId="28" xfId="0" applyFont="1" applyFill="1" applyBorder="1" applyAlignment="1">
      <alignment horizontal="center" vertical="center" wrapText="1"/>
    </xf>
    <xf numFmtId="0" fontId="24" fillId="13" borderId="47" xfId="0" applyFont="1" applyFill="1" applyBorder="1" applyAlignment="1">
      <alignment horizontal="center" vertical="center" wrapText="1"/>
    </xf>
    <xf numFmtId="0" fontId="24" fillId="13" borderId="46" xfId="0" applyFont="1" applyFill="1" applyBorder="1" applyAlignment="1">
      <alignment horizontal="center" vertical="center" wrapText="1"/>
    </xf>
  </cellXfs>
  <cellStyles count="12">
    <cellStyle name="標準" xfId="0" builtinId="0"/>
    <cellStyle name="標準 2" xfId="1"/>
    <cellStyle name="標準 3" xfId="2"/>
    <cellStyle name="標準 4" xfId="3"/>
    <cellStyle name="標準 4 2" xfId="7"/>
    <cellStyle name="標準 4 2 2" xfId="8"/>
    <cellStyle name="標準 5" xfId="4"/>
    <cellStyle name="標準 5 2" xfId="9"/>
    <cellStyle name="標準 6" xfId="5"/>
    <cellStyle name="標準 7" xfId="10"/>
    <cellStyle name="標準 8" xfId="11"/>
    <cellStyle name="標準 9" xfId="6"/>
  </cellStyles>
  <dxfs count="0"/>
  <tableStyles count="0" defaultTableStyle="TableStyleMedium2" defaultPivotStyle="PivotStyleLight16"/>
  <colors>
    <mruColors>
      <color rgb="FFA61D02"/>
      <color rgb="FF006699"/>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9"/>
  <sheetViews>
    <sheetView workbookViewId="0">
      <selection activeCell="F6" sqref="F6:I6"/>
    </sheetView>
  </sheetViews>
  <sheetFormatPr defaultRowHeight="17.25"/>
  <cols>
    <col min="1" max="4" width="7.625" style="280" customWidth="1"/>
    <col min="5" max="5" width="2.875" style="280" customWidth="1"/>
    <col min="6" max="9" width="7.625" style="280" customWidth="1"/>
    <col min="10" max="10" width="2.875" style="280" customWidth="1"/>
    <col min="11" max="14" width="7.625" style="280" customWidth="1"/>
    <col min="15" max="16384" width="9" style="120"/>
  </cols>
  <sheetData>
    <row r="1" spans="1:14">
      <c r="A1" s="384" t="s">
        <v>459</v>
      </c>
      <c r="B1" s="385"/>
      <c r="C1" s="385"/>
      <c r="D1" s="386"/>
      <c r="E1" s="265"/>
      <c r="F1" s="369" t="s">
        <v>460</v>
      </c>
      <c r="G1" s="370"/>
      <c r="H1" s="370"/>
      <c r="I1" s="371"/>
      <c r="J1" s="265"/>
      <c r="K1" s="355" t="s">
        <v>475</v>
      </c>
      <c r="L1" s="356"/>
      <c r="M1" s="356"/>
      <c r="N1" s="357"/>
    </row>
    <row r="2" spans="1:14" ht="18" thickBot="1">
      <c r="A2" s="387" t="s">
        <v>461</v>
      </c>
      <c r="B2" s="388"/>
      <c r="C2" s="388"/>
      <c r="D2" s="389"/>
      <c r="E2" s="265"/>
      <c r="F2" s="365" t="s">
        <v>462</v>
      </c>
      <c r="G2" s="366"/>
      <c r="H2" s="363" t="s">
        <v>463</v>
      </c>
      <c r="I2" s="364"/>
      <c r="J2" s="265"/>
      <c r="K2" s="365" t="s">
        <v>34</v>
      </c>
      <c r="L2" s="366"/>
      <c r="M2" s="390" t="s">
        <v>478</v>
      </c>
      <c r="N2" s="391"/>
    </row>
    <row r="3" spans="1:14">
      <c r="A3" s="266" t="s">
        <v>464</v>
      </c>
      <c r="B3" s="267" t="s">
        <v>19</v>
      </c>
      <c r="C3" s="267" t="s">
        <v>20</v>
      </c>
      <c r="D3" s="268" t="s">
        <v>21</v>
      </c>
      <c r="E3" s="269"/>
      <c r="F3" s="266" t="s">
        <v>464</v>
      </c>
      <c r="G3" s="267" t="s">
        <v>19</v>
      </c>
      <c r="H3" s="267" t="s">
        <v>20</v>
      </c>
      <c r="I3" s="268" t="s">
        <v>21</v>
      </c>
      <c r="J3" s="269"/>
      <c r="K3" s="266" t="s">
        <v>92</v>
      </c>
      <c r="L3" s="267" t="s">
        <v>19</v>
      </c>
      <c r="M3" s="267" t="s">
        <v>20</v>
      </c>
      <c r="N3" s="268" t="s">
        <v>21</v>
      </c>
    </row>
    <row r="4" spans="1:14" ht="29.25" thickBot="1">
      <c r="A4" s="270">
        <f>基本!$B$16</f>
        <v>31</v>
      </c>
      <c r="B4" s="271">
        <f>基本!$B$17</f>
        <v>29</v>
      </c>
      <c r="C4" s="271">
        <f>基本!$B$18</f>
        <v>22</v>
      </c>
      <c r="D4" s="272">
        <f>基本!$B$19</f>
        <v>31</v>
      </c>
      <c r="E4" s="273"/>
      <c r="F4" s="274" t="s">
        <v>465</v>
      </c>
      <c r="G4" s="275" t="s">
        <v>465</v>
      </c>
      <c r="H4" s="275" t="s">
        <v>465</v>
      </c>
      <c r="I4" s="276" t="s">
        <v>465</v>
      </c>
      <c r="J4" s="273"/>
      <c r="K4" s="274"/>
      <c r="L4" s="275" t="s">
        <v>466</v>
      </c>
      <c r="M4" s="275" t="s">
        <v>466</v>
      </c>
      <c r="N4" s="276" t="s">
        <v>466</v>
      </c>
    </row>
    <row r="5" spans="1:14" ht="18" thickBot="1">
      <c r="A5" s="277"/>
      <c r="B5" s="277"/>
      <c r="C5" s="277"/>
      <c r="D5" s="277"/>
      <c r="E5" s="278"/>
      <c r="F5" s="277"/>
      <c r="G5" s="277"/>
      <c r="H5" s="277"/>
      <c r="I5" s="277"/>
      <c r="J5" s="278"/>
      <c r="K5" s="277"/>
      <c r="L5" s="277"/>
      <c r="M5" s="277"/>
      <c r="N5" s="277"/>
    </row>
    <row r="6" spans="1:14">
      <c r="A6" s="369" t="s">
        <v>467</v>
      </c>
      <c r="B6" s="370"/>
      <c r="C6" s="370"/>
      <c r="D6" s="371"/>
      <c r="E6" s="265"/>
      <c r="F6" s="377" t="s">
        <v>631</v>
      </c>
      <c r="G6" s="378"/>
      <c r="H6" s="378"/>
      <c r="I6" s="379"/>
      <c r="J6" s="265"/>
      <c r="K6" s="369" t="s">
        <v>468</v>
      </c>
      <c r="L6" s="370"/>
      <c r="M6" s="370"/>
      <c r="N6" s="371"/>
    </row>
    <row r="7" spans="1:14" ht="18" thickBot="1">
      <c r="A7" s="361" t="s">
        <v>469</v>
      </c>
      <c r="B7" s="362"/>
      <c r="C7" s="363" t="s">
        <v>463</v>
      </c>
      <c r="D7" s="364"/>
      <c r="E7" s="265"/>
      <c r="F7" s="365" t="s">
        <v>34</v>
      </c>
      <c r="G7" s="366"/>
      <c r="H7" s="382" t="s">
        <v>113</v>
      </c>
      <c r="I7" s="383"/>
      <c r="J7" s="265"/>
      <c r="K7" s="365" t="s">
        <v>470</v>
      </c>
      <c r="L7" s="366"/>
      <c r="M7" s="382" t="s">
        <v>113</v>
      </c>
      <c r="N7" s="383"/>
    </row>
    <row r="8" spans="1:14">
      <c r="A8" s="266" t="s">
        <v>471</v>
      </c>
      <c r="B8" s="267" t="s">
        <v>19</v>
      </c>
      <c r="C8" s="267" t="s">
        <v>20</v>
      </c>
      <c r="D8" s="268" t="s">
        <v>21</v>
      </c>
      <c r="E8" s="269"/>
      <c r="F8" s="266" t="s">
        <v>471</v>
      </c>
      <c r="G8" s="267" t="s">
        <v>19</v>
      </c>
      <c r="H8" s="267" t="s">
        <v>20</v>
      </c>
      <c r="I8" s="268" t="s">
        <v>21</v>
      </c>
      <c r="J8" s="269"/>
      <c r="K8" s="266" t="s">
        <v>471</v>
      </c>
      <c r="L8" s="267" t="s">
        <v>19</v>
      </c>
      <c r="M8" s="267" t="s">
        <v>20</v>
      </c>
      <c r="N8" s="268" t="s">
        <v>21</v>
      </c>
    </row>
    <row r="9" spans="1:14" ht="29.25" thickBot="1">
      <c r="A9" s="274" t="s">
        <v>472</v>
      </c>
      <c r="B9" s="275"/>
      <c r="C9" s="275"/>
      <c r="D9" s="276"/>
      <c r="E9" s="273"/>
      <c r="F9" s="274" t="s">
        <v>479</v>
      </c>
      <c r="G9" s="275" t="s">
        <v>480</v>
      </c>
      <c r="H9" s="275" t="s">
        <v>480</v>
      </c>
      <c r="I9" s="276" t="s">
        <v>479</v>
      </c>
      <c r="J9" s="273"/>
      <c r="K9" s="270" t="str">
        <f>"+" &amp; 基本!$C$23</f>
        <v>+3</v>
      </c>
      <c r="L9" s="271" t="str">
        <f>"+" &amp; 基本!$C$23</f>
        <v>+3</v>
      </c>
      <c r="M9" s="271" t="str">
        <f>"+" &amp; 基本!$C$23</f>
        <v>+3</v>
      </c>
      <c r="N9" s="272" t="str">
        <f>"+" &amp; 基本!$C$23</f>
        <v>+3</v>
      </c>
    </row>
    <row r="10" spans="1:14" ht="18" thickBot="1">
      <c r="A10" s="277"/>
      <c r="B10" s="277"/>
      <c r="C10" s="277"/>
      <c r="D10" s="277"/>
      <c r="E10" s="278"/>
      <c r="F10" s="277"/>
      <c r="G10" s="277"/>
      <c r="H10" s="277"/>
      <c r="I10" s="277"/>
      <c r="J10" s="278"/>
      <c r="K10" s="277"/>
      <c r="L10" s="277"/>
      <c r="M10" s="277"/>
      <c r="N10" s="277"/>
    </row>
    <row r="11" spans="1:14">
      <c r="A11" s="355" t="s">
        <v>473</v>
      </c>
      <c r="B11" s="356"/>
      <c r="C11" s="356"/>
      <c r="D11" s="357"/>
      <c r="E11" s="265"/>
      <c r="F11" s="377" t="s">
        <v>474</v>
      </c>
      <c r="G11" s="378"/>
      <c r="H11" s="378"/>
      <c r="I11" s="379"/>
      <c r="J11" s="265"/>
      <c r="K11" s="355" t="s">
        <v>752</v>
      </c>
      <c r="L11" s="356"/>
      <c r="M11" s="356"/>
      <c r="N11" s="357"/>
    </row>
    <row r="12" spans="1:14" ht="18" thickBot="1">
      <c r="A12" s="361" t="s">
        <v>469</v>
      </c>
      <c r="B12" s="362"/>
      <c r="C12" s="380" t="s">
        <v>476</v>
      </c>
      <c r="D12" s="381"/>
      <c r="E12" s="265"/>
      <c r="F12" s="365" t="s">
        <v>34</v>
      </c>
      <c r="G12" s="366"/>
      <c r="H12" s="375" t="s">
        <v>477</v>
      </c>
      <c r="I12" s="376"/>
      <c r="J12" s="265"/>
      <c r="K12" s="365" t="s">
        <v>753</v>
      </c>
      <c r="L12" s="366"/>
      <c r="M12" s="363" t="s">
        <v>463</v>
      </c>
      <c r="N12" s="364"/>
    </row>
    <row r="13" spans="1:14">
      <c r="A13" s="266" t="s">
        <v>471</v>
      </c>
      <c r="B13" s="267" t="s">
        <v>19</v>
      </c>
      <c r="C13" s="267" t="s">
        <v>20</v>
      </c>
      <c r="D13" s="268" t="s">
        <v>21</v>
      </c>
      <c r="E13" s="269"/>
      <c r="F13" s="266" t="s">
        <v>92</v>
      </c>
      <c r="G13" s="267" t="s">
        <v>19</v>
      </c>
      <c r="H13" s="267" t="s">
        <v>20</v>
      </c>
      <c r="I13" s="268" t="s">
        <v>21</v>
      </c>
      <c r="J13" s="269"/>
      <c r="K13" s="266" t="s">
        <v>754</v>
      </c>
      <c r="L13" s="267" t="s">
        <v>19</v>
      </c>
      <c r="M13" s="267" t="s">
        <v>20</v>
      </c>
      <c r="N13" s="268" t="s">
        <v>21</v>
      </c>
    </row>
    <row r="14" spans="1:14" ht="29.25" thickBot="1">
      <c r="A14" s="274" t="s">
        <v>466</v>
      </c>
      <c r="B14" s="275" t="s">
        <v>466</v>
      </c>
      <c r="C14" s="275" t="s">
        <v>466</v>
      </c>
      <c r="D14" s="276" t="s">
        <v>479</v>
      </c>
      <c r="E14" s="273"/>
      <c r="F14" s="274" t="s">
        <v>633</v>
      </c>
      <c r="G14" s="275" t="s">
        <v>632</v>
      </c>
      <c r="H14" s="275" t="s">
        <v>632</v>
      </c>
      <c r="I14" s="276" t="s">
        <v>632</v>
      </c>
      <c r="J14" s="273"/>
      <c r="K14" s="274" t="s">
        <v>755</v>
      </c>
      <c r="L14" s="275" t="s">
        <v>755</v>
      </c>
      <c r="M14" s="275" t="s">
        <v>755</v>
      </c>
      <c r="N14" s="276" t="s">
        <v>755</v>
      </c>
    </row>
    <row r="15" spans="1:14" ht="18" thickBot="1">
      <c r="A15" s="277"/>
      <c r="B15" s="277"/>
      <c r="C15" s="277"/>
      <c r="D15" s="277"/>
      <c r="E15" s="278"/>
      <c r="F15" s="277"/>
      <c r="G15" s="277"/>
      <c r="H15" s="277"/>
      <c r="I15" s="277"/>
      <c r="J15" s="278"/>
      <c r="K15" s="277"/>
      <c r="L15" s="277"/>
      <c r="M15" s="277"/>
      <c r="N15" s="277"/>
    </row>
    <row r="16" spans="1:14">
      <c r="A16" s="369" t="s">
        <v>481</v>
      </c>
      <c r="B16" s="370"/>
      <c r="C16" s="370"/>
      <c r="D16" s="371"/>
      <c r="E16" s="265"/>
      <c r="F16" s="372" t="s">
        <v>482</v>
      </c>
      <c r="G16" s="373"/>
      <c r="H16" s="373"/>
      <c r="I16" s="374"/>
      <c r="J16" s="265"/>
      <c r="K16" s="355" t="s">
        <v>756</v>
      </c>
      <c r="L16" s="356"/>
      <c r="M16" s="356"/>
      <c r="N16" s="357"/>
    </row>
    <row r="17" spans="1:14" ht="18" thickBot="1">
      <c r="A17" s="361" t="s">
        <v>469</v>
      </c>
      <c r="B17" s="362"/>
      <c r="C17" s="363" t="s">
        <v>463</v>
      </c>
      <c r="D17" s="364"/>
      <c r="E17" s="265"/>
      <c r="F17" s="365" t="s">
        <v>34</v>
      </c>
      <c r="G17" s="366"/>
      <c r="H17" s="375" t="s">
        <v>477</v>
      </c>
      <c r="I17" s="376"/>
      <c r="J17" s="265"/>
      <c r="K17" s="365" t="s">
        <v>753</v>
      </c>
      <c r="L17" s="366"/>
      <c r="M17" s="363" t="s">
        <v>463</v>
      </c>
      <c r="N17" s="364"/>
    </row>
    <row r="18" spans="1:14">
      <c r="A18" s="266" t="s">
        <v>471</v>
      </c>
      <c r="B18" s="267" t="s">
        <v>19</v>
      </c>
      <c r="C18" s="267" t="s">
        <v>20</v>
      </c>
      <c r="D18" s="268" t="s">
        <v>21</v>
      </c>
      <c r="E18" s="269"/>
      <c r="F18" s="266" t="s">
        <v>92</v>
      </c>
      <c r="G18" s="267" t="s">
        <v>19</v>
      </c>
      <c r="H18" s="267" t="s">
        <v>20</v>
      </c>
      <c r="I18" s="268" t="s">
        <v>21</v>
      </c>
      <c r="J18" s="269"/>
      <c r="K18" s="266" t="s">
        <v>754</v>
      </c>
      <c r="L18" s="267" t="s">
        <v>19</v>
      </c>
      <c r="M18" s="267" t="s">
        <v>20</v>
      </c>
      <c r="N18" s="268" t="s">
        <v>21</v>
      </c>
    </row>
    <row r="19" spans="1:14" ht="29.25" thickBot="1">
      <c r="A19" s="274" t="s">
        <v>479</v>
      </c>
      <c r="B19" s="275"/>
      <c r="C19" s="275"/>
      <c r="D19" s="276"/>
      <c r="E19" s="273"/>
      <c r="F19" s="274" t="s">
        <v>633</v>
      </c>
      <c r="G19" s="275" t="s">
        <v>632</v>
      </c>
      <c r="H19" s="275" t="s">
        <v>632</v>
      </c>
      <c r="I19" s="276" t="s">
        <v>632</v>
      </c>
      <c r="J19" s="273"/>
      <c r="K19" s="274" t="s">
        <v>483</v>
      </c>
      <c r="L19" s="275" t="s">
        <v>483</v>
      </c>
      <c r="M19" s="275" t="s">
        <v>483</v>
      </c>
      <c r="N19" s="276" t="s">
        <v>483</v>
      </c>
    </row>
    <row r="20" spans="1:14" ht="18" thickBot="1">
      <c r="A20" s="277"/>
      <c r="B20" s="277"/>
      <c r="C20" s="277"/>
      <c r="D20" s="277"/>
      <c r="E20" s="278"/>
      <c r="F20" s="277"/>
      <c r="G20" s="277"/>
      <c r="H20" s="277"/>
      <c r="I20" s="277"/>
      <c r="J20" s="278"/>
      <c r="K20" s="277"/>
      <c r="L20" s="277"/>
      <c r="M20" s="277"/>
      <c r="N20" s="277"/>
    </row>
    <row r="21" spans="1:14">
      <c r="A21" s="355" t="s">
        <v>484</v>
      </c>
      <c r="B21" s="356"/>
      <c r="C21" s="356"/>
      <c r="D21" s="357"/>
      <c r="E21" s="265"/>
      <c r="F21" s="358"/>
      <c r="G21" s="359"/>
      <c r="H21" s="359"/>
      <c r="I21" s="360"/>
      <c r="J21" s="265"/>
      <c r="K21" s="358"/>
      <c r="L21" s="359"/>
      <c r="M21" s="359"/>
      <c r="N21" s="360"/>
    </row>
    <row r="22" spans="1:14" ht="18" thickBot="1">
      <c r="A22" s="361" t="s">
        <v>535</v>
      </c>
      <c r="B22" s="362"/>
      <c r="C22" s="363" t="s">
        <v>463</v>
      </c>
      <c r="D22" s="364"/>
      <c r="E22" s="265"/>
      <c r="F22" s="365"/>
      <c r="G22" s="366"/>
      <c r="H22" s="367"/>
      <c r="I22" s="368"/>
      <c r="J22" s="265"/>
      <c r="K22" s="365"/>
      <c r="L22" s="366"/>
      <c r="M22" s="367"/>
      <c r="N22" s="368"/>
    </row>
    <row r="23" spans="1:14" ht="18.75">
      <c r="A23" s="279" t="s">
        <v>485</v>
      </c>
      <c r="B23" s="267" t="s">
        <v>19</v>
      </c>
      <c r="C23" s="267" t="s">
        <v>20</v>
      </c>
      <c r="D23" s="268" t="s">
        <v>21</v>
      </c>
      <c r="E23" s="269"/>
      <c r="F23" s="266" t="s">
        <v>471</v>
      </c>
      <c r="G23" s="267" t="s">
        <v>19</v>
      </c>
      <c r="H23" s="267" t="s">
        <v>20</v>
      </c>
      <c r="I23" s="268" t="s">
        <v>21</v>
      </c>
      <c r="J23" s="269"/>
      <c r="K23" s="266" t="s">
        <v>471</v>
      </c>
      <c r="L23" s="267" t="s">
        <v>19</v>
      </c>
      <c r="M23" s="267" t="s">
        <v>20</v>
      </c>
      <c r="N23" s="268" t="s">
        <v>21</v>
      </c>
    </row>
    <row r="24" spans="1:14" ht="29.25" thickBot="1">
      <c r="A24" s="352" t="s">
        <v>486</v>
      </c>
      <c r="B24" s="353"/>
      <c r="C24" s="353"/>
      <c r="D24" s="354"/>
      <c r="E24" s="273"/>
      <c r="F24" s="274"/>
      <c r="G24" s="275"/>
      <c r="H24" s="275"/>
      <c r="I24" s="276"/>
      <c r="J24" s="273"/>
      <c r="K24" s="274"/>
      <c r="L24" s="275"/>
      <c r="M24" s="275"/>
      <c r="N24" s="276"/>
    </row>
    <row r="25" spans="1:14" ht="18" thickBot="1"/>
    <row r="26" spans="1:14" ht="18.75">
      <c r="A26" s="281" t="s">
        <v>487</v>
      </c>
      <c r="B26" s="282"/>
      <c r="C26" s="282"/>
      <c r="D26" s="282"/>
      <c r="E26" s="282"/>
      <c r="F26" s="282"/>
      <c r="G26" s="282"/>
      <c r="H26" s="282"/>
      <c r="I26" s="282"/>
      <c r="J26" s="282"/>
      <c r="K26" s="282"/>
      <c r="L26" s="282"/>
      <c r="M26" s="282"/>
      <c r="N26" s="283"/>
    </row>
    <row r="27" spans="1:14" ht="13.5">
      <c r="A27" s="284"/>
      <c r="B27" s="285"/>
      <c r="C27" s="285"/>
      <c r="D27" s="285"/>
      <c r="E27" s="285"/>
      <c r="F27" s="285"/>
      <c r="G27" s="285"/>
      <c r="H27" s="285"/>
      <c r="I27" s="285"/>
      <c r="J27" s="285"/>
      <c r="K27" s="285"/>
      <c r="L27" s="285"/>
      <c r="M27" s="285"/>
      <c r="N27" s="286"/>
    </row>
    <row r="28" spans="1:14" ht="13.5">
      <c r="A28" s="287" t="s">
        <v>488</v>
      </c>
      <c r="B28" s="288"/>
      <c r="C28" s="288"/>
      <c r="D28" s="288"/>
      <c r="E28" s="288"/>
      <c r="F28" s="288"/>
      <c r="G28" s="288"/>
      <c r="H28" s="288"/>
      <c r="I28" s="288"/>
      <c r="J28" s="288"/>
      <c r="K28" s="288"/>
      <c r="L28" s="288"/>
      <c r="M28" s="288"/>
      <c r="N28" s="289"/>
    </row>
    <row r="29" spans="1:14" ht="13.5">
      <c r="A29" s="290" t="s">
        <v>489</v>
      </c>
      <c r="B29" s="291"/>
      <c r="C29" s="291"/>
      <c r="D29" s="291"/>
      <c r="E29" s="291"/>
      <c r="F29" s="291"/>
      <c r="G29" s="291"/>
      <c r="H29" s="291"/>
      <c r="I29" s="291"/>
      <c r="J29" s="291"/>
      <c r="K29" s="291"/>
      <c r="L29" s="291"/>
      <c r="M29" s="291"/>
      <c r="N29" s="292"/>
    </row>
    <row r="30" spans="1:14" ht="13.5">
      <c r="A30" s="287" t="s">
        <v>490</v>
      </c>
      <c r="B30" s="288"/>
      <c r="C30" s="288"/>
      <c r="D30" s="288"/>
      <c r="E30" s="288"/>
      <c r="F30" s="288"/>
      <c r="G30" s="288"/>
      <c r="H30" s="288"/>
      <c r="I30" s="288"/>
      <c r="J30" s="288"/>
      <c r="K30" s="288"/>
      <c r="L30" s="288"/>
      <c r="M30" s="288"/>
      <c r="N30" s="289"/>
    </row>
    <row r="31" spans="1:14" ht="13.5">
      <c r="A31" s="290" t="s">
        <v>491</v>
      </c>
      <c r="B31" s="291"/>
      <c r="C31" s="291"/>
      <c r="D31" s="291"/>
      <c r="E31" s="291"/>
      <c r="F31" s="291"/>
      <c r="G31" s="291"/>
      <c r="H31" s="291"/>
      <c r="I31" s="291"/>
      <c r="J31" s="291"/>
      <c r="K31" s="291"/>
      <c r="L31" s="291"/>
      <c r="M31" s="291"/>
      <c r="N31" s="292"/>
    </row>
    <row r="32" spans="1:14" ht="13.5">
      <c r="A32" s="287" t="s">
        <v>492</v>
      </c>
      <c r="B32" s="288"/>
      <c r="C32" s="288"/>
      <c r="D32" s="288"/>
      <c r="E32" s="288"/>
      <c r="F32" s="288"/>
      <c r="G32" s="288"/>
      <c r="H32" s="288"/>
      <c r="I32" s="288"/>
      <c r="J32" s="288"/>
      <c r="K32" s="288"/>
      <c r="L32" s="288"/>
      <c r="M32" s="288"/>
      <c r="N32" s="289"/>
    </row>
    <row r="33" spans="1:14" ht="13.5">
      <c r="A33" s="290" t="str">
        <f>"　　とりあえず "&amp;遭03!$L$15+4&amp;"マスシフト可能！"</f>
        <v>　　とりあえず 4マスシフト可能！</v>
      </c>
      <c r="B33" s="291"/>
      <c r="C33" s="291"/>
      <c r="D33" s="291"/>
      <c r="E33" s="291"/>
      <c r="F33" s="291"/>
      <c r="G33" s="291"/>
      <c r="H33" s="291"/>
      <c r="I33" s="291"/>
      <c r="J33" s="291"/>
      <c r="K33" s="291"/>
      <c r="L33" s="291"/>
      <c r="M33" s="291"/>
      <c r="N33" s="292"/>
    </row>
    <row r="34" spans="1:14" ht="13.5">
      <c r="A34" s="287" t="s">
        <v>493</v>
      </c>
      <c r="B34" s="288"/>
      <c r="C34" s="288"/>
      <c r="D34" s="288"/>
      <c r="E34" s="288"/>
      <c r="F34" s="288"/>
      <c r="G34" s="288"/>
      <c r="H34" s="288"/>
      <c r="I34" s="288"/>
      <c r="J34" s="288"/>
      <c r="K34" s="288"/>
      <c r="L34" s="288"/>
      <c r="M34" s="288"/>
      <c r="N34" s="289"/>
    </row>
    <row r="35" spans="1:14" ht="13.5">
      <c r="A35" s="290" t="s">
        <v>494</v>
      </c>
      <c r="B35" s="291"/>
      <c r="C35" s="291"/>
      <c r="D35" s="291"/>
      <c r="E35" s="291"/>
      <c r="F35" s="291"/>
      <c r="G35" s="291"/>
      <c r="H35" s="291"/>
      <c r="I35" s="291"/>
      <c r="J35" s="291"/>
      <c r="K35" s="291"/>
      <c r="L35" s="291"/>
      <c r="M35" s="291"/>
      <c r="N35" s="292"/>
    </row>
    <row r="36" spans="1:14" ht="13.5">
      <c r="A36" s="287" t="s">
        <v>495</v>
      </c>
      <c r="B36" s="288"/>
      <c r="C36" s="288"/>
      <c r="D36" s="288"/>
      <c r="E36" s="288"/>
      <c r="F36" s="288"/>
      <c r="G36" s="288"/>
      <c r="H36" s="288"/>
      <c r="I36" s="288"/>
      <c r="J36" s="288"/>
      <c r="K36" s="288"/>
      <c r="L36" s="288"/>
      <c r="M36" s="288"/>
      <c r="N36" s="289"/>
    </row>
    <row r="37" spans="1:14" ht="13.5">
      <c r="A37" s="290" t="s">
        <v>496</v>
      </c>
      <c r="B37" s="291"/>
      <c r="C37" s="291"/>
      <c r="D37" s="291"/>
      <c r="E37" s="291"/>
      <c r="F37" s="291"/>
      <c r="G37" s="291"/>
      <c r="H37" s="291"/>
      <c r="I37" s="291"/>
      <c r="J37" s="291"/>
      <c r="K37" s="291"/>
      <c r="L37" s="291"/>
      <c r="M37" s="291"/>
      <c r="N37" s="292"/>
    </row>
    <row r="38" spans="1:14" ht="14.25" thickBot="1">
      <c r="A38" s="293"/>
      <c r="B38" s="294"/>
      <c r="C38" s="294"/>
      <c r="D38" s="294"/>
      <c r="E38" s="294"/>
      <c r="F38" s="294"/>
      <c r="G38" s="294"/>
      <c r="H38" s="294"/>
      <c r="I38" s="294"/>
      <c r="J38" s="294"/>
      <c r="K38" s="294"/>
      <c r="L38" s="294"/>
      <c r="M38" s="294"/>
      <c r="N38" s="295"/>
    </row>
    <row r="39" spans="1:14" ht="13.5">
      <c r="A39" s="120"/>
      <c r="B39" s="120"/>
      <c r="C39" s="120"/>
      <c r="D39" s="120"/>
      <c r="E39" s="120"/>
      <c r="F39" s="120"/>
      <c r="G39" s="120"/>
      <c r="H39" s="120"/>
      <c r="I39" s="120"/>
      <c r="J39" s="120"/>
      <c r="K39" s="120"/>
      <c r="L39" s="120"/>
      <c r="M39" s="120"/>
      <c r="N39" s="120"/>
    </row>
  </sheetData>
  <mergeCells count="45">
    <mergeCell ref="A1:D1"/>
    <mergeCell ref="F1:I1"/>
    <mergeCell ref="K1:N1"/>
    <mergeCell ref="A2:D2"/>
    <mergeCell ref="F2:G2"/>
    <mergeCell ref="H2:I2"/>
    <mergeCell ref="K2:L2"/>
    <mergeCell ref="M2:N2"/>
    <mergeCell ref="A6:D6"/>
    <mergeCell ref="F6:I6"/>
    <mergeCell ref="K6:N6"/>
    <mergeCell ref="A7:B7"/>
    <mergeCell ref="C7:D7"/>
    <mergeCell ref="F7:G7"/>
    <mergeCell ref="H7:I7"/>
    <mergeCell ref="K7:L7"/>
    <mergeCell ref="M7:N7"/>
    <mergeCell ref="A11:D11"/>
    <mergeCell ref="F11:I11"/>
    <mergeCell ref="K11:N11"/>
    <mergeCell ref="A12:B12"/>
    <mergeCell ref="C12:D12"/>
    <mergeCell ref="F12:G12"/>
    <mergeCell ref="H12:I12"/>
    <mergeCell ref="K12:L12"/>
    <mergeCell ref="M12:N12"/>
    <mergeCell ref="A16:D16"/>
    <mergeCell ref="F16:I16"/>
    <mergeCell ref="K16:N16"/>
    <mergeCell ref="A17:B17"/>
    <mergeCell ref="C17:D17"/>
    <mergeCell ref="F17:G17"/>
    <mergeCell ref="H17:I17"/>
    <mergeCell ref="K17:L17"/>
    <mergeCell ref="M17:N17"/>
    <mergeCell ref="A24:D24"/>
    <mergeCell ref="A21:D21"/>
    <mergeCell ref="F21:I21"/>
    <mergeCell ref="K21:N21"/>
    <mergeCell ref="A22:B22"/>
    <mergeCell ref="C22:D22"/>
    <mergeCell ref="F22:G22"/>
    <mergeCell ref="H22:I22"/>
    <mergeCell ref="K22:L22"/>
    <mergeCell ref="M22:N22"/>
  </mergeCells>
  <phoneticPr fontId="1"/>
  <pageMargins left="0.43307086614173229" right="0.23622047244094491" top="0.74803149606299213" bottom="0.74803149606299213" header="0.31496062992125984" footer="0.31496062992125984"/>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S60"/>
  <sheetViews>
    <sheetView zoomScaleNormal="100" workbookViewId="0">
      <selection activeCell="B2" sqref="B2:G2"/>
    </sheetView>
  </sheetViews>
  <sheetFormatPr defaultRowHeight="13.5"/>
  <cols>
    <col min="1" max="1" width="7.875" style="120" customWidth="1"/>
    <col min="2" max="2" width="8.5" style="120" customWidth="1"/>
    <col min="3" max="3" width="6.625" style="120" customWidth="1"/>
    <col min="4" max="4" width="15.75" style="120" customWidth="1"/>
    <col min="5" max="6" width="15.75" style="79" customWidth="1"/>
    <col min="7" max="7" width="18.25" style="79" customWidth="1"/>
    <col min="8" max="8" width="17.375" style="79" customWidth="1"/>
    <col min="9" max="9" width="14.625" style="79" customWidth="1"/>
    <col min="10" max="10" width="8.375" style="79" customWidth="1"/>
    <col min="11" max="11" width="7.5" style="79" customWidth="1"/>
    <col min="12" max="12" width="7.875" style="120" customWidth="1"/>
    <col min="13" max="13" width="9.25" style="120" customWidth="1"/>
    <col min="14" max="14" width="12.375" style="120" customWidth="1"/>
    <col min="15" max="16384" width="9" style="120"/>
  </cols>
  <sheetData>
    <row r="1" spans="1:19" ht="21">
      <c r="A1" s="39" t="s">
        <v>118</v>
      </c>
      <c r="B1" s="573">
        <v>11</v>
      </c>
      <c r="C1" s="574"/>
      <c r="D1" s="40" t="s">
        <v>40</v>
      </c>
      <c r="E1" s="41" t="s">
        <v>115</v>
      </c>
      <c r="F1" s="575"/>
      <c r="G1" s="576"/>
      <c r="H1" s="84" t="s">
        <v>55</v>
      </c>
    </row>
    <row r="2" spans="1:19" ht="24.75" customHeight="1">
      <c r="A2" s="40" t="s">
        <v>0</v>
      </c>
      <c r="B2" s="577" t="s">
        <v>335</v>
      </c>
      <c r="C2" s="577"/>
      <c r="D2" s="577"/>
      <c r="E2" s="577"/>
      <c r="F2" s="577"/>
      <c r="G2" s="577"/>
      <c r="H2" s="84" t="s">
        <v>56</v>
      </c>
    </row>
    <row r="3" spans="1:19" ht="19.5" customHeight="1">
      <c r="A3" s="90" t="s">
        <v>48</v>
      </c>
      <c r="B3" s="79"/>
      <c r="C3" s="79"/>
      <c r="D3" s="79"/>
      <c r="I3" s="84"/>
    </row>
    <row r="4" spans="1:19">
      <c r="A4" s="67" t="s">
        <v>46</v>
      </c>
      <c r="B4" s="480" t="s">
        <v>336</v>
      </c>
      <c r="C4" s="481"/>
      <c r="D4" s="481"/>
      <c r="E4" s="481"/>
      <c r="F4" s="481"/>
      <c r="G4" s="482"/>
      <c r="H4" s="394" t="s">
        <v>646</v>
      </c>
      <c r="I4" s="395"/>
      <c r="J4" s="395"/>
      <c r="K4" s="395"/>
      <c r="L4" s="395"/>
      <c r="M4" s="396"/>
      <c r="N4" s="394" t="s">
        <v>646</v>
      </c>
      <c r="O4" s="395"/>
      <c r="P4" s="395"/>
      <c r="Q4" s="395"/>
      <c r="R4" s="395"/>
      <c r="S4" s="396"/>
    </row>
    <row r="5" spans="1:19">
      <c r="A5" s="68" t="s">
        <v>39</v>
      </c>
      <c r="B5" s="480" t="s">
        <v>174</v>
      </c>
      <c r="C5" s="481"/>
      <c r="D5" s="481"/>
      <c r="E5" s="481"/>
      <c r="F5" s="481"/>
      <c r="G5" s="482"/>
      <c r="H5" s="330" t="s">
        <v>43</v>
      </c>
      <c r="I5" s="332" t="s">
        <v>69</v>
      </c>
      <c r="J5" s="332" t="s">
        <v>100</v>
      </c>
      <c r="N5" s="330" t="s">
        <v>43</v>
      </c>
      <c r="O5" s="332" t="s">
        <v>71</v>
      </c>
      <c r="P5" s="332" t="s">
        <v>100</v>
      </c>
      <c r="Q5" s="79"/>
    </row>
    <row r="6" spans="1:19">
      <c r="A6" s="68" t="s">
        <v>7</v>
      </c>
      <c r="B6" s="480" t="s">
        <v>5</v>
      </c>
      <c r="C6" s="481"/>
      <c r="D6" s="482"/>
      <c r="E6" s="180" t="s">
        <v>43</v>
      </c>
      <c r="F6" s="179" t="str">
        <f>$I$5</f>
        <v>近接</v>
      </c>
      <c r="G6" s="179" t="str">
        <f>IF($J$5 = 0,"", $J$5)</f>
        <v>武器</v>
      </c>
      <c r="H6" s="330" t="s">
        <v>66</v>
      </c>
      <c r="I6" s="332"/>
      <c r="J6" s="332"/>
      <c r="N6" s="330" t="s">
        <v>66</v>
      </c>
      <c r="O6" s="332"/>
      <c r="P6" s="332"/>
      <c r="Q6" s="79"/>
    </row>
    <row r="7" spans="1:19">
      <c r="A7" s="69" t="s">
        <v>6</v>
      </c>
      <c r="B7" s="480" t="s">
        <v>91</v>
      </c>
      <c r="C7" s="481"/>
      <c r="D7" s="482"/>
      <c r="E7" s="180" t="s">
        <v>66</v>
      </c>
      <c r="F7" s="179" t="str">
        <f>IF($I$6 = 0,"", $I$6)</f>
        <v/>
      </c>
      <c r="G7" s="179" t="str">
        <f>IF($J$6 = 0,"", $J$6)</f>
        <v/>
      </c>
      <c r="H7" s="330" t="s">
        <v>85</v>
      </c>
      <c r="I7" s="332" t="s">
        <v>116</v>
      </c>
      <c r="J7" s="84" t="s">
        <v>62</v>
      </c>
      <c r="L7" s="176" t="s">
        <v>318</v>
      </c>
      <c r="N7" s="330" t="s">
        <v>85</v>
      </c>
      <c r="O7" s="332" t="s">
        <v>525</v>
      </c>
      <c r="P7" s="84" t="s">
        <v>62</v>
      </c>
      <c r="Q7" s="79"/>
      <c r="R7" s="176" t="s">
        <v>318</v>
      </c>
    </row>
    <row r="8" spans="1:19">
      <c r="A8" s="69" t="s">
        <v>8</v>
      </c>
      <c r="B8" s="534" t="s">
        <v>693</v>
      </c>
      <c r="C8" s="535"/>
      <c r="D8" s="535"/>
      <c r="E8" s="535"/>
      <c r="F8" s="535"/>
      <c r="G8" s="536"/>
      <c r="H8" s="330" t="s">
        <v>51</v>
      </c>
      <c r="I8" s="332" t="s">
        <v>12</v>
      </c>
      <c r="J8" s="331">
        <f>IF($I$8 = "筋力",基本!$C$5,IF($I$8 = "耐久力",基本!$C$6,IF($I$8 = "敏捷力",基本!$C$7,IF($I$8 = "知力",基本!$C$8,IF($I$8 = "判断力",基本!$C$9,IF($I$8 = "魅力",基本!$C$10,""))))))</f>
        <v>6</v>
      </c>
      <c r="K8" s="332" t="s">
        <v>90</v>
      </c>
      <c r="L8" s="177">
        <f>$J$8+$L$9+$I$9</f>
        <v>22</v>
      </c>
      <c r="N8" s="330" t="s">
        <v>51</v>
      </c>
      <c r="O8" s="332" t="s">
        <v>12</v>
      </c>
      <c r="P8" s="331">
        <f>IF(O8="",0,VLOOKUP(O8,基本!$A$5:'基本'!$C$10,3,FALSE))</f>
        <v>6</v>
      </c>
      <c r="Q8" s="332" t="s">
        <v>90</v>
      </c>
      <c r="R8" s="177">
        <f>$P$8+$O$9+$R$9</f>
        <v>22</v>
      </c>
    </row>
    <row r="9" spans="1:19" ht="14.25" customHeight="1">
      <c r="A9" s="71" t="s">
        <v>9</v>
      </c>
      <c r="B9" s="474" t="s">
        <v>271</v>
      </c>
      <c r="C9" s="475"/>
      <c r="D9" s="475"/>
      <c r="E9" s="475"/>
      <c r="F9" s="475"/>
      <c r="G9" s="476"/>
      <c r="H9" s="330" t="s">
        <v>58</v>
      </c>
      <c r="I9" s="332">
        <v>0</v>
      </c>
      <c r="J9" s="394" t="s">
        <v>53</v>
      </c>
      <c r="K9" s="396"/>
      <c r="L9" s="331">
        <f>IF($I$7=基本!$F$4,基本!$P$7,IF($I$7=基本!$F$13,基本!$P$16,IF($I$7=基本!$F$22,基本!$P$25,IF($I$7=基本!$F$31,基本!$P$34,IF($I$7=基本!$F$40,基本!$P$43,0)))))</f>
        <v>16</v>
      </c>
      <c r="N9" s="330" t="s">
        <v>58</v>
      </c>
      <c r="O9" s="332">
        <v>0</v>
      </c>
      <c r="P9" s="394" t="s">
        <v>53</v>
      </c>
      <c r="Q9" s="396"/>
      <c r="R9" s="331">
        <f>IF($O$7=基本!$F$4,基本!$P$7,IF($O$7=基本!$F$13,基本!$P$16,IF($O$7=基本!$F$22,基本!$P$25,IF($O$7=基本!$F$31,基本!$P$34,IF($O$7=基本!$F$40,基本!$P$43,0)))))</f>
        <v>16</v>
      </c>
    </row>
    <row r="10" spans="1:19" ht="14.25" customHeight="1">
      <c r="A10" s="71"/>
      <c r="B10" s="505" t="s">
        <v>337</v>
      </c>
      <c r="C10" s="506"/>
      <c r="D10" s="506"/>
      <c r="E10" s="506"/>
      <c r="F10" s="506"/>
      <c r="G10" s="507"/>
      <c r="H10" s="328" t="s">
        <v>52</v>
      </c>
      <c r="I10" s="332" t="s">
        <v>12</v>
      </c>
      <c r="J10" s="88">
        <f>IF(I10 = "筋力",基本!$C$5,IF(I10 = "耐久力",基本!$C$6,IF(I10 = "敏捷力",基本!$C$7,IF(I10 = "知力",基本!$C$8,IF(I10 = "判断力",基本!$C$9,IF(I10 = "魅力",基本!$C$10,""))))))</f>
        <v>6</v>
      </c>
      <c r="K10" s="332" t="s">
        <v>16</v>
      </c>
      <c r="L10" s="88">
        <f>IF(K10 = "筋力",基本!$C$5,IF(K10 = "耐久力",基本!$C$6,IF(K10 = "敏捷力",基本!$C$7,IF(K10 = "知力",基本!$C$8,IF(K10 = "判断力",基本!$C$9,IF(K10 = "魅力",基本!$C$10,""))))))</f>
        <v>6</v>
      </c>
      <c r="N10" s="328" t="s">
        <v>52</v>
      </c>
      <c r="O10" s="332" t="s">
        <v>12</v>
      </c>
      <c r="P10" s="88">
        <f>IF(O10 = "筋力",基本!$C$5,IF(O10 = "耐久力",基本!$C$6,IF(O10 = "敏捷力",基本!$C$7,IF(O10 = "知力",基本!$C$8,IF(O10 = "判断力",基本!$C$9,IF(O10 = "魅力",基本!$C$10,""))))))</f>
        <v>6</v>
      </c>
      <c r="Q10" s="332" t="s">
        <v>16</v>
      </c>
      <c r="R10" s="88">
        <f>IF(Q10 = "筋力",基本!$C$5,IF(Q10 = "耐久力",基本!$C$6,IF(Q10 = "敏捷力",基本!$C$7,IF(Q10 = "知力",基本!$C$8,IF(Q10 = "判断力",基本!$C$9,IF(Q10 = "魅力",基本!$C$10,""))))))</f>
        <v>6</v>
      </c>
    </row>
    <row r="11" spans="1:19" ht="14.25" customHeight="1">
      <c r="A11" s="70" t="s">
        <v>61</v>
      </c>
      <c r="B11" s="474" t="s">
        <v>144</v>
      </c>
      <c r="C11" s="475"/>
      <c r="D11" s="475"/>
      <c r="E11" s="475"/>
      <c r="F11" s="475"/>
      <c r="G11" s="476"/>
      <c r="H11" s="330" t="s">
        <v>59</v>
      </c>
      <c r="I11" s="332">
        <v>0</v>
      </c>
      <c r="J11" s="394" t="s">
        <v>54</v>
      </c>
      <c r="K11" s="396"/>
      <c r="L11" s="331">
        <f>IF($I$7=基本!$F$4,基本!$P$9,IF($I$7=基本!$F$13,基本!$P$18,IF($I$7=基本!$F$22,基本!$P$27,IF($I$7=基本!$F$31,基本!$P$36,IF($I$7=基本!$F$40,基本!$P$45,0)))))</f>
        <v>6</v>
      </c>
      <c r="N11" s="330" t="s">
        <v>59</v>
      </c>
      <c r="O11" s="332">
        <v>0</v>
      </c>
      <c r="P11" s="394" t="s">
        <v>643</v>
      </c>
      <c r="Q11" s="396"/>
      <c r="R11" s="331">
        <f>IF($O$7=基本!$F$4,基本!$P$9,IF($O$7=基本!$F$13,基本!$P$18,IF($O$7=基本!$F$22,基本!$P$27,IF($O$7=基本!$F$31,基本!$P$36,IF($O$7=基本!$F$40,基本!$P$45,0)))))</f>
        <v>6</v>
      </c>
    </row>
    <row r="12" spans="1:19" ht="6" customHeight="1">
      <c r="A12" s="71"/>
      <c r="B12" s="505"/>
      <c r="C12" s="506"/>
      <c r="D12" s="506"/>
      <c r="E12" s="506"/>
      <c r="F12" s="506"/>
      <c r="G12" s="507"/>
      <c r="H12" s="329" t="s">
        <v>319</v>
      </c>
      <c r="I12" s="332">
        <v>1</v>
      </c>
      <c r="J12" s="120"/>
      <c r="K12" s="120"/>
      <c r="L12" s="176" t="s">
        <v>318</v>
      </c>
      <c r="M12" s="334" t="s">
        <v>60</v>
      </c>
      <c r="N12" s="329" t="s">
        <v>319</v>
      </c>
      <c r="O12" s="332">
        <v>1</v>
      </c>
      <c r="R12" s="176" t="s">
        <v>318</v>
      </c>
      <c r="S12" s="334" t="s">
        <v>60</v>
      </c>
    </row>
    <row r="13" spans="1:19" ht="6" hidden="1" customHeight="1">
      <c r="A13" s="71"/>
      <c r="B13" s="483"/>
      <c r="C13" s="472"/>
      <c r="D13" s="472"/>
      <c r="E13" s="472"/>
      <c r="F13" s="472"/>
      <c r="G13" s="484"/>
      <c r="H13" s="329" t="s">
        <v>86</v>
      </c>
      <c r="I13" s="32">
        <f>IF($I$7=基本!$F$4,基本!$F$9,IF($I$7=基本!$F$13,基本!$F$18,IF($I$7=基本!$F$22,基本!$F$27,IF($I$7=基本!$F$31,基本!$F$36,IF($I$7=基本!$F$40,基本!$F$45,0)))))*$I$12</f>
        <v>1</v>
      </c>
      <c r="J13" s="330" t="s">
        <v>44</v>
      </c>
      <c r="K13" s="32">
        <f>IF($I$7=基本!$F$4,基本!$H$9,IF($I$7=基本!$F$13,基本!$H$18,IF($I$7=基本!$F$22,基本!$H$27,IF($I$7=基本!$F$31,基本!$H$36,IF($I$7=基本!$F$40,基本!$H$45,0)))))</f>
        <v>10</v>
      </c>
      <c r="L13" s="177">
        <f>$J$10+$L$11+$I$11</f>
        <v>12</v>
      </c>
      <c r="M13" s="332"/>
      <c r="N13" s="329" t="s">
        <v>644</v>
      </c>
      <c r="O13" s="42">
        <f>IF($O$7=基本!$F$4,基本!$F$9,IF($O$7=基本!$F$13,基本!$F$18,IF($O$7=基本!$F$22,基本!$F$27,IF($O$7=基本!$F$31,基本!$F$36,IF($O$7=基本!$F$40,基本!$F$45,0)))))*$O$12</f>
        <v>1</v>
      </c>
      <c r="P13" s="330" t="s">
        <v>645</v>
      </c>
      <c r="Q13" s="42">
        <f>IF($O$7=基本!$F$4,基本!$H$9,IF($O$7=基本!$F$13,基本!$H$18,IF($O$7=基本!$F$22,基本!$H$27,IF($O$7=基本!$F$31,基本!$H$36,IF($O$7=基本!$F$40,基本!$H$45,0)))))</f>
        <v>6</v>
      </c>
      <c r="R13" s="177">
        <f>$P$10+$O$11+$R$11</f>
        <v>12</v>
      </c>
      <c r="S13" s="332"/>
    </row>
    <row r="14" spans="1:19" ht="6" hidden="1" customHeight="1">
      <c r="A14" s="92"/>
      <c r="B14" s="537"/>
      <c r="C14" s="538"/>
      <c r="D14" s="538"/>
      <c r="E14" s="538"/>
      <c r="F14" s="538"/>
      <c r="G14" s="539"/>
      <c r="H14" s="330" t="s">
        <v>50</v>
      </c>
      <c r="I14" s="32">
        <f>IF($I$7=基本!$F$4,基本!$L$11,IF($I$7=基本!$F$13,基本!$L$20,IF($I$7=基本!$F$22,基本!$L$29,IF($I$7=基本!$F$31,基本!$L$38,IF($I$7=基本!$F$40,基本!$L$47,0)))))</f>
        <v>4</v>
      </c>
      <c r="J14" s="330" t="s">
        <v>44</v>
      </c>
      <c r="K14" s="32">
        <f>IF($I$7=基本!$F$4,基本!$N$11,IF($I$7=基本!$F$13,基本!$N$20,IF($I$7=基本!$F$22,基本!$N$29,IF($I$7=基本!$F$31,基本!$N$38,IF($I$7=基本!$F$40,基本!$N$47,0)))))</f>
        <v>8</v>
      </c>
      <c r="L14" s="177">
        <f>$J$10+$L$11+$I$11+($I$13*$K$13)</f>
        <v>22</v>
      </c>
      <c r="M14" s="332"/>
      <c r="N14" s="330" t="s">
        <v>50</v>
      </c>
      <c r="O14" s="42">
        <f>IF($O$7=基本!$F$4,基本!$L$11,IF($O$7=基本!$F$13,基本!$L$20,IF($O$7=基本!$F$22,基本!$L$29,IF($O$7=基本!$F$31,基本!$L$38,IF($O$7=基本!$F$40,基本!$L$47,0)))))</f>
        <v>4</v>
      </c>
      <c r="P14" s="330" t="s">
        <v>645</v>
      </c>
      <c r="Q14" s="42">
        <f>IF($O$7=基本!$F$4,基本!$N$11,IF($O$7=基本!$F$13,基本!$N$20,IF($O$7=基本!$F$22,基本!$N$29,IF($O$7=基本!$F$31,基本!$N$38,IF($O$7=基本!$F$40,基本!$N$47,0)))))</f>
        <v>6</v>
      </c>
      <c r="R14" s="177">
        <f>$P$10+$R$11+$O$11+($O$13*$Q$13)</f>
        <v>18</v>
      </c>
      <c r="S14" s="332"/>
    </row>
    <row r="15" spans="1:19" ht="6" customHeight="1">
      <c r="A15" s="71"/>
      <c r="B15" s="505"/>
      <c r="C15" s="506"/>
      <c r="D15" s="506"/>
      <c r="E15" s="506"/>
      <c r="F15" s="506"/>
      <c r="G15" s="507"/>
      <c r="H15" s="120"/>
      <c r="I15" s="120"/>
      <c r="J15" s="120"/>
      <c r="K15" s="120"/>
    </row>
    <row r="16" spans="1:19" ht="6" customHeight="1">
      <c r="A16" s="72"/>
      <c r="B16" s="452"/>
      <c r="C16" s="453"/>
      <c r="D16" s="453"/>
      <c r="E16" s="453"/>
      <c r="F16" s="453"/>
      <c r="G16" s="454"/>
      <c r="H16" s="120"/>
      <c r="I16" s="120"/>
      <c r="J16" s="120"/>
      <c r="K16" s="120"/>
    </row>
    <row r="17" spans="1:11" ht="14.25" thickBot="1">
      <c r="A17" s="113" t="s">
        <v>47</v>
      </c>
      <c r="E17" s="80"/>
      <c r="H17" s="120"/>
      <c r="I17" s="120"/>
      <c r="J17" s="120"/>
      <c r="K17" s="120"/>
    </row>
    <row r="18" spans="1:11" ht="18.75" customHeight="1" thickBot="1">
      <c r="A18" s="582" t="str">
        <f>$B$2</f>
        <v>ゼラス・ストライク</v>
      </c>
      <c r="B18" s="583"/>
      <c r="C18" s="583"/>
      <c r="D18" s="65" t="s">
        <v>2</v>
      </c>
      <c r="E18" s="349" t="s">
        <v>671</v>
      </c>
      <c r="F18" s="65" t="s">
        <v>525</v>
      </c>
      <c r="G18" s="350" t="s">
        <v>680</v>
      </c>
      <c r="H18" s="120"/>
      <c r="I18" s="120"/>
      <c r="J18" s="120"/>
      <c r="K18" s="120"/>
    </row>
    <row r="19" spans="1:11" ht="21" customHeight="1">
      <c r="A19" s="459" t="s">
        <v>42</v>
      </c>
      <c r="B19" s="64" t="s">
        <v>117</v>
      </c>
      <c r="C19" s="462" t="s">
        <v>90</v>
      </c>
      <c r="D19" s="62" t="str">
        <f>$L$8 &amp; "+1d20"</f>
        <v>22+1d20</v>
      </c>
      <c r="E19" s="62" t="str">
        <f>2+$L$8 &amp; "+1d20"</f>
        <v>24+1d20</v>
      </c>
      <c r="F19" s="62" t="str">
        <f>$R$8 &amp; "+1d20"</f>
        <v>22+1d20</v>
      </c>
      <c r="G19" s="63" t="str">
        <f>2+$R$8 &amp; "+1d20"</f>
        <v>24+1d20</v>
      </c>
      <c r="H19" s="120"/>
      <c r="I19" s="120"/>
      <c r="J19" s="120"/>
      <c r="K19" s="120"/>
    </row>
    <row r="20" spans="1:11" ht="21" customHeight="1">
      <c r="A20" s="460"/>
      <c r="B20" s="201" t="s">
        <v>1</v>
      </c>
      <c r="C20" s="463"/>
      <c r="D20" s="203" t="str">
        <f>$L$8+2 &amp; "+1d20"</f>
        <v>24+1d20</v>
      </c>
      <c r="E20" s="203" t="str">
        <f>2+$L$8+2 &amp; "+1d20"</f>
        <v>26+1d20</v>
      </c>
      <c r="F20" s="203" t="str">
        <f>$R$8+2 &amp; "+1d20"</f>
        <v>24+1d20</v>
      </c>
      <c r="G20" s="204" t="str">
        <f>2+$R$8+2 &amp; "+1d20"</f>
        <v>26+1d20</v>
      </c>
      <c r="H20" s="120"/>
      <c r="I20" s="120"/>
      <c r="J20" s="120"/>
      <c r="K20" s="120"/>
    </row>
    <row r="21" spans="1:11" ht="21" customHeight="1">
      <c r="A21" s="460"/>
      <c r="B21" s="189" t="s">
        <v>409</v>
      </c>
      <c r="C21" s="463"/>
      <c r="D21" s="187" t="str">
        <f>3+$L$8 &amp; "+1d20"</f>
        <v>25+1d20</v>
      </c>
      <c r="E21" s="187" t="str">
        <f>2+3+$L$8 &amp; "+1d20"</f>
        <v>27+1d20</v>
      </c>
      <c r="F21" s="187" t="str">
        <f>3+$R$8 &amp; "+1d20"</f>
        <v>25+1d20</v>
      </c>
      <c r="G21" s="188" t="str">
        <f>2+3+$R$8 &amp; "+1d20"</f>
        <v>27+1d20</v>
      </c>
      <c r="H21" s="120"/>
      <c r="I21" s="120"/>
      <c r="J21" s="120"/>
      <c r="K21" s="120"/>
    </row>
    <row r="22" spans="1:11" ht="21" customHeight="1" thickBot="1">
      <c r="A22" s="461"/>
      <c r="B22" s="202" t="s">
        <v>1</v>
      </c>
      <c r="C22" s="464"/>
      <c r="D22" s="205" t="str">
        <f>3+$L$8+2 &amp; "+1d20"</f>
        <v>27+1d20</v>
      </c>
      <c r="E22" s="205" t="str">
        <f>2+3+$L$8+2 &amp; "+1d20"</f>
        <v>29+1d20</v>
      </c>
      <c r="F22" s="205" t="str">
        <f>3+$R$8+2 &amp; "+1d20"</f>
        <v>27+1d20</v>
      </c>
      <c r="G22" s="206" t="str">
        <f>2+3+$R$8+2 &amp; "+1d20"</f>
        <v>29+1d20</v>
      </c>
      <c r="H22" s="120"/>
      <c r="I22" s="120"/>
      <c r="J22" s="120"/>
      <c r="K22" s="120"/>
    </row>
    <row r="23" spans="1:11" ht="20.25" customHeight="1">
      <c r="A23" s="470" t="s">
        <v>360</v>
      </c>
      <c r="B23" s="137" t="s">
        <v>361</v>
      </c>
      <c r="C23" s="335" t="str">
        <f>IF($M$13 = 0,"", $M$13)</f>
        <v/>
      </c>
      <c r="D23" s="56" t="str">
        <f>-2+$L$13 &amp; "+" &amp; $I$13 &amp; "d" &amp; $K$13</f>
        <v>10+1d10</v>
      </c>
      <c r="E23" s="56" t="str">
        <f>-2+$L$13 &amp; "+" &amp; $I$13 &amp; "d" &amp; $K$13</f>
        <v>10+1d10</v>
      </c>
      <c r="F23" s="56" t="str">
        <f>-2+$R$13 &amp; "+" &amp; $O$13 &amp; "d" &amp; $Q$13</f>
        <v>10+1d6</v>
      </c>
      <c r="G23" s="57" t="str">
        <f>-2+$R$13 &amp; "+" &amp; $O$13 &amp; "d" &amp; $Q$13</f>
        <v>10+1d6</v>
      </c>
      <c r="H23" s="120"/>
      <c r="I23" s="120"/>
      <c r="J23" s="120"/>
      <c r="K23" s="120"/>
    </row>
    <row r="24" spans="1:11" ht="20.25" customHeight="1" thickBot="1">
      <c r="A24" s="471"/>
      <c r="B24" s="148" t="s">
        <v>362</v>
      </c>
      <c r="C24" s="347" t="str">
        <f>IF($M$14 = 0,"", $M$14)</f>
        <v/>
      </c>
      <c r="D24" s="150" t="str">
        <f>-2+$L$14 &amp; IF($I$14 =0,"","＆別の敵へ" &amp; $I$14 &amp; "d" &amp; $K$14)</f>
        <v>20＆別の敵へ4d8</v>
      </c>
      <c r="E24" s="150" t="str">
        <f t="shared" ref="E24" si="0">-2+$L$14 &amp; IF($I$14 =0,"","＆別の敵へ" &amp; $I$14 &amp; "d" &amp; $K$14)</f>
        <v>20＆別の敵へ4d8</v>
      </c>
      <c r="F24" s="150" t="str">
        <f>-2+$R$14 &amp; IF($O$14 = 0,"","+" &amp; $O$14 &amp; "d" &amp; $Q$14)</f>
        <v>16+4d6</v>
      </c>
      <c r="G24" s="305" t="str">
        <f>-2+$R$14 &amp; IF($O$14 = 0,"","+" &amp; $O$14 &amp; "d" &amp; $Q$14)</f>
        <v>16+4d6</v>
      </c>
      <c r="H24" s="120"/>
      <c r="I24" s="120"/>
      <c r="J24" s="120"/>
      <c r="K24" s="120"/>
    </row>
    <row r="25" spans="1:11" ht="20.25" customHeight="1">
      <c r="A25" s="455" t="s">
        <v>136</v>
      </c>
      <c r="B25" s="137" t="s">
        <v>361</v>
      </c>
      <c r="C25" s="335" t="str">
        <f>IF($M$13 = 0,"", $M$13)</f>
        <v/>
      </c>
      <c r="D25" s="56" t="str">
        <f>$L$13 &amp; "+" &amp; $I$13 &amp; "d" &amp; $K$13</f>
        <v>12+1d10</v>
      </c>
      <c r="E25" s="56" t="str">
        <f>$L$13 &amp; "+" &amp; $I$13 &amp; "d" &amp; $K$13</f>
        <v>12+1d10</v>
      </c>
      <c r="F25" s="56" t="str">
        <f>$R$13 &amp; "+" &amp; $O$13 &amp; "d" &amp; $Q$13</f>
        <v>12+1d6</v>
      </c>
      <c r="G25" s="57" t="str">
        <f>$R$13 &amp; "+" &amp; $O$13 &amp; "d" &amp; $Q$13</f>
        <v>12+1d6</v>
      </c>
      <c r="H25" s="120"/>
      <c r="I25" s="120"/>
      <c r="J25" s="120"/>
      <c r="K25" s="120"/>
    </row>
    <row r="26" spans="1:11" ht="20.25" customHeight="1" thickBot="1">
      <c r="A26" s="456"/>
      <c r="B26" s="304" t="s">
        <v>362</v>
      </c>
      <c r="C26" s="347" t="str">
        <f>IF($M$14 = 0,"", $M$14)</f>
        <v/>
      </c>
      <c r="D26" s="333" t="str">
        <f>$L$14 &amp; IF($I$14 =0,"","＆別の敵へ" &amp; $I$14 &amp; "d" &amp; $K$14)</f>
        <v>22＆別の敵へ4d8</v>
      </c>
      <c r="E26" s="333" t="str">
        <f t="shared" ref="E26" si="1">$L$14 &amp; IF($I$14 =0,"","＆別の敵へ" &amp; $I$14 &amp; "d" &amp; $K$14)</f>
        <v>22＆別の敵へ4d8</v>
      </c>
      <c r="F26" s="333" t="str">
        <f>$R$14 &amp; IF($O$14 = 0,"","+" &amp; $O$14 &amp; "d" &amp; $Q$14)</f>
        <v>18+4d6</v>
      </c>
      <c r="G26" s="305" t="str">
        <f>$R$14 &amp; IF($O$14 = 0,"","+" &amp; $O$14 &amp; "d" &amp; $Q$14)</f>
        <v>18+4d6</v>
      </c>
      <c r="H26" s="120"/>
      <c r="I26" s="120"/>
      <c r="J26" s="120"/>
      <c r="K26" s="120"/>
    </row>
    <row r="27" spans="1:11" ht="8.25" customHeight="1">
      <c r="A27" s="472"/>
      <c r="B27" s="472"/>
      <c r="C27" s="472"/>
      <c r="D27" s="472"/>
      <c r="E27" s="472"/>
      <c r="F27" s="472"/>
      <c r="G27" s="472"/>
    </row>
    <row r="28" spans="1:11" ht="15" customHeight="1">
      <c r="A28" s="457" t="s">
        <v>676</v>
      </c>
      <c r="B28" s="457"/>
      <c r="C28" s="457"/>
      <c r="D28" s="457"/>
      <c r="E28" s="457"/>
      <c r="F28" s="457"/>
      <c r="G28" s="457"/>
      <c r="H28" s="120"/>
      <c r="I28" s="120"/>
      <c r="J28" s="120"/>
      <c r="K28" s="120"/>
    </row>
    <row r="29" spans="1:11" ht="13.5" customHeight="1">
      <c r="A29" s="458" t="s">
        <v>677</v>
      </c>
      <c r="B29" s="458"/>
      <c r="C29" s="458"/>
      <c r="D29" s="458"/>
      <c r="E29" s="458"/>
      <c r="F29" s="458"/>
      <c r="G29" s="458"/>
    </row>
    <row r="30" spans="1:11" ht="15" customHeight="1">
      <c r="A30" s="457" t="s">
        <v>497</v>
      </c>
      <c r="B30" s="457"/>
      <c r="C30" s="457"/>
      <c r="D30" s="457"/>
      <c r="E30" s="457"/>
      <c r="F30" s="457"/>
      <c r="G30" s="457"/>
      <c r="I30" s="120"/>
      <c r="J30" s="120"/>
      <c r="K30" s="120"/>
    </row>
    <row r="31" spans="1:11" ht="13.5" customHeight="1">
      <c r="A31" s="458" t="s">
        <v>412</v>
      </c>
      <c r="B31" s="458"/>
      <c r="C31" s="458"/>
      <c r="D31" s="458"/>
      <c r="E31" s="458"/>
      <c r="F31" s="458"/>
      <c r="G31" s="458"/>
    </row>
    <row r="32" spans="1:11" ht="13.5" customHeight="1">
      <c r="A32" s="458" t="s">
        <v>413</v>
      </c>
      <c r="B32" s="458"/>
      <c r="C32" s="458"/>
      <c r="D32" s="458"/>
      <c r="E32" s="458"/>
      <c r="F32" s="458"/>
      <c r="G32" s="458"/>
    </row>
    <row r="33" spans="1:12" ht="13.5" customHeight="1">
      <c r="A33" s="473" t="s">
        <v>499</v>
      </c>
      <c r="B33" s="458"/>
      <c r="C33" s="458"/>
      <c r="D33" s="458"/>
      <c r="E33" s="458"/>
      <c r="F33" s="458"/>
      <c r="G33" s="458"/>
    </row>
    <row r="34" spans="1:12" ht="13.5" customHeight="1">
      <c r="A34" s="473" t="s">
        <v>500</v>
      </c>
      <c r="B34" s="458"/>
      <c r="C34" s="458"/>
      <c r="D34" s="458"/>
      <c r="E34" s="458"/>
      <c r="F34" s="458"/>
      <c r="G34" s="458"/>
    </row>
    <row r="35" spans="1:12" ht="15" customHeight="1">
      <c r="A35" s="457" t="s">
        <v>322</v>
      </c>
      <c r="B35" s="457"/>
      <c r="C35" s="457"/>
      <c r="D35" s="457"/>
      <c r="E35" s="457"/>
      <c r="F35" s="457"/>
      <c r="G35" s="457"/>
      <c r="I35" s="120"/>
      <c r="J35" s="120"/>
      <c r="K35" s="120"/>
    </row>
    <row r="36" spans="1:12" ht="13.5" customHeight="1">
      <c r="A36" s="490" t="s">
        <v>359</v>
      </c>
      <c r="B36" s="490"/>
      <c r="C36" s="490"/>
      <c r="D36" s="490"/>
      <c r="E36" s="490"/>
      <c r="F36" s="490"/>
      <c r="G36" s="490"/>
    </row>
    <row r="37" spans="1:12" ht="13.5" customHeight="1">
      <c r="A37" s="458" t="s">
        <v>323</v>
      </c>
      <c r="B37" s="458"/>
      <c r="C37" s="458"/>
      <c r="D37" s="458"/>
      <c r="E37" s="458"/>
      <c r="F37" s="458"/>
      <c r="G37" s="458"/>
    </row>
    <row r="38" spans="1:12" ht="8.25" customHeight="1">
      <c r="A38" s="453"/>
      <c r="B38" s="453"/>
      <c r="C38" s="453"/>
      <c r="D38" s="453"/>
      <c r="E38" s="453"/>
      <c r="F38" s="453"/>
      <c r="G38" s="453"/>
    </row>
    <row r="39" spans="1:12">
      <c r="A39" s="531" t="s">
        <v>49</v>
      </c>
      <c r="B39" s="532"/>
      <c r="C39" s="532"/>
      <c r="D39" s="532"/>
      <c r="E39" s="532"/>
      <c r="F39" s="532"/>
      <c r="G39" s="533"/>
    </row>
    <row r="40" spans="1:12" s="79" customFormat="1" ht="8.25" customHeight="1">
      <c r="A40" s="529"/>
      <c r="B40" s="457"/>
      <c r="C40" s="457"/>
      <c r="D40" s="457"/>
      <c r="E40" s="457"/>
      <c r="F40" s="457"/>
      <c r="G40" s="530"/>
      <c r="L40" s="120"/>
    </row>
    <row r="41" spans="1:12" s="79" customFormat="1" ht="15.75" customHeight="1">
      <c r="A41" s="477" t="s">
        <v>234</v>
      </c>
      <c r="B41" s="478"/>
      <c r="C41" s="478"/>
      <c r="D41" s="478"/>
      <c r="E41" s="478"/>
      <c r="F41" s="478"/>
      <c r="G41" s="479"/>
      <c r="L41" s="348"/>
    </row>
    <row r="42" spans="1:12" s="79" customFormat="1" ht="7.5" customHeight="1">
      <c r="A42" s="523"/>
      <c r="B42" s="524"/>
      <c r="C42" s="524"/>
      <c r="D42" s="524"/>
      <c r="E42" s="524"/>
      <c r="F42" s="524"/>
      <c r="G42" s="525"/>
      <c r="L42" s="120"/>
    </row>
    <row r="43" spans="1:12" s="79" customFormat="1" ht="13.5" customHeight="1">
      <c r="A43" s="505" t="s">
        <v>244</v>
      </c>
      <c r="B43" s="506"/>
      <c r="C43" s="506"/>
      <c r="D43" s="506"/>
      <c r="E43" s="506"/>
      <c r="F43" s="506"/>
      <c r="G43" s="507"/>
      <c r="L43" s="120"/>
    </row>
    <row r="44" spans="1:12" s="79" customFormat="1" ht="13.5" customHeight="1">
      <c r="A44" s="523" t="s">
        <v>250</v>
      </c>
      <c r="B44" s="524"/>
      <c r="C44" s="524"/>
      <c r="D44" s="524"/>
      <c r="E44" s="524"/>
      <c r="F44" s="524"/>
      <c r="G44" s="525"/>
      <c r="L44" s="120"/>
    </row>
    <row r="45" spans="1:12" s="79" customFormat="1" ht="13.5" customHeight="1">
      <c r="A45" s="523" t="s">
        <v>245</v>
      </c>
      <c r="B45" s="524"/>
      <c r="C45" s="524"/>
      <c r="D45" s="524"/>
      <c r="E45" s="524"/>
      <c r="F45" s="524"/>
      <c r="G45" s="525"/>
      <c r="L45" s="120"/>
    </row>
    <row r="46" spans="1:12" s="79" customFormat="1" ht="13.5" customHeight="1">
      <c r="A46" s="523" t="s">
        <v>246</v>
      </c>
      <c r="B46" s="524"/>
      <c r="C46" s="524"/>
      <c r="D46" s="524"/>
      <c r="E46" s="524"/>
      <c r="F46" s="524"/>
      <c r="G46" s="525"/>
      <c r="L46" s="120"/>
    </row>
    <row r="47" spans="1:12" s="79" customFormat="1" ht="13.5" customHeight="1">
      <c r="A47" s="505" t="s">
        <v>703</v>
      </c>
      <c r="B47" s="506"/>
      <c r="C47" s="506"/>
      <c r="D47" s="506"/>
      <c r="E47" s="506"/>
      <c r="F47" s="506"/>
      <c r="G47" s="507"/>
      <c r="L47" s="120"/>
    </row>
    <row r="48" spans="1:12" s="79" customFormat="1" ht="13.5" customHeight="1">
      <c r="A48" s="523" t="s">
        <v>252</v>
      </c>
      <c r="B48" s="524"/>
      <c r="C48" s="524"/>
      <c r="D48" s="524"/>
      <c r="E48" s="524"/>
      <c r="F48" s="524"/>
      <c r="G48" s="525"/>
      <c r="L48" s="120"/>
    </row>
    <row r="49" spans="1:12" s="79" customFormat="1" ht="13.5" customHeight="1">
      <c r="A49" s="523" t="s">
        <v>247</v>
      </c>
      <c r="B49" s="524"/>
      <c r="C49" s="524"/>
      <c r="D49" s="524"/>
      <c r="E49" s="524"/>
      <c r="F49" s="524"/>
      <c r="G49" s="525"/>
      <c r="L49" s="120"/>
    </row>
    <row r="50" spans="1:12" s="79" customFormat="1" ht="13.5" customHeight="1">
      <c r="A50" s="523" t="s">
        <v>248</v>
      </c>
      <c r="B50" s="524"/>
      <c r="C50" s="524"/>
      <c r="D50" s="524"/>
      <c r="E50" s="524"/>
      <c r="F50" s="524"/>
      <c r="G50" s="525"/>
      <c r="L50" s="120"/>
    </row>
    <row r="51" spans="1:12" s="79" customFormat="1" ht="13.5" customHeight="1">
      <c r="A51" s="523" t="s">
        <v>249</v>
      </c>
      <c r="B51" s="524"/>
      <c r="C51" s="524"/>
      <c r="D51" s="524"/>
      <c r="E51" s="524"/>
      <c r="F51" s="524"/>
      <c r="G51" s="525"/>
      <c r="L51" s="120"/>
    </row>
    <row r="52" spans="1:12" s="79" customFormat="1" ht="13.5" customHeight="1">
      <c r="A52" s="523" t="s">
        <v>254</v>
      </c>
      <c r="B52" s="524"/>
      <c r="C52" s="524"/>
      <c r="D52" s="524"/>
      <c r="E52" s="524"/>
      <c r="F52" s="524"/>
      <c r="G52" s="525"/>
      <c r="L52" s="120"/>
    </row>
    <row r="53" spans="1:12" s="79" customFormat="1" ht="13.5" customHeight="1">
      <c r="A53" s="523" t="s">
        <v>251</v>
      </c>
      <c r="B53" s="524"/>
      <c r="C53" s="524"/>
      <c r="D53" s="524"/>
      <c r="E53" s="524"/>
      <c r="F53" s="524"/>
      <c r="G53" s="525"/>
      <c r="L53" s="120"/>
    </row>
    <row r="54" spans="1:12" s="79" customFormat="1" ht="13.5" customHeight="1">
      <c r="A54" s="523" t="s">
        <v>403</v>
      </c>
      <c r="B54" s="524"/>
      <c r="C54" s="524"/>
      <c r="D54" s="524"/>
      <c r="E54" s="524"/>
      <c r="F54" s="524"/>
      <c r="G54" s="525"/>
      <c r="L54" s="120"/>
    </row>
    <row r="55" spans="1:12" s="79" customFormat="1" ht="13.5" customHeight="1">
      <c r="A55" s="523" t="s">
        <v>704</v>
      </c>
      <c r="B55" s="524"/>
      <c r="C55" s="524"/>
      <c r="D55" s="524"/>
      <c r="E55" s="524"/>
      <c r="F55" s="524"/>
      <c r="G55" s="525"/>
      <c r="L55" s="120"/>
    </row>
    <row r="56" spans="1:12" s="79" customFormat="1" ht="13.5" customHeight="1">
      <c r="A56" s="523" t="s">
        <v>404</v>
      </c>
      <c r="B56" s="524"/>
      <c r="C56" s="524"/>
      <c r="D56" s="524"/>
      <c r="E56" s="524"/>
      <c r="F56" s="524"/>
      <c r="G56" s="525"/>
      <c r="L56" s="120"/>
    </row>
    <row r="57" spans="1:12" s="79" customFormat="1" ht="11.25" customHeight="1">
      <c r="A57" s="523"/>
      <c r="B57" s="524"/>
      <c r="C57" s="524"/>
      <c r="D57" s="524"/>
      <c r="E57" s="524"/>
      <c r="F57" s="524"/>
      <c r="G57" s="525"/>
      <c r="L57" s="120"/>
    </row>
    <row r="58" spans="1:12" s="79" customFormat="1" ht="7.5" customHeight="1">
      <c r="A58" s="523"/>
      <c r="B58" s="524"/>
      <c r="C58" s="524"/>
      <c r="D58" s="524"/>
      <c r="E58" s="524"/>
      <c r="F58" s="524"/>
      <c r="G58" s="525"/>
      <c r="L58" s="120"/>
    </row>
    <row r="59" spans="1:12" s="79" customFormat="1" ht="8.25" customHeight="1">
      <c r="A59" s="523"/>
      <c r="B59" s="524"/>
      <c r="C59" s="524"/>
      <c r="D59" s="524"/>
      <c r="E59" s="524"/>
      <c r="F59" s="524"/>
      <c r="G59" s="525"/>
      <c r="L59" s="120"/>
    </row>
    <row r="60" spans="1:12" s="79" customFormat="1" ht="21">
      <c r="A60" s="36" t="s">
        <v>118</v>
      </c>
      <c r="B60" s="183">
        <f>$B$1</f>
        <v>11</v>
      </c>
      <c r="C60" s="37" t="s">
        <v>40</v>
      </c>
      <c r="D60" s="38" t="str">
        <f>$E$1</f>
        <v>遭遇毎</v>
      </c>
      <c r="E60" s="564" t="str">
        <f>$B$2</f>
        <v>ゼラス・ストライク</v>
      </c>
      <c r="F60" s="565"/>
      <c r="G60" s="566"/>
      <c r="L60" s="120"/>
    </row>
  </sheetData>
  <mergeCells count="61">
    <mergeCell ref="A44:G44"/>
    <mergeCell ref="A45:G45"/>
    <mergeCell ref="A46:G46"/>
    <mergeCell ref="A59:G59"/>
    <mergeCell ref="E60:G60"/>
    <mergeCell ref="A48:G48"/>
    <mergeCell ref="A52:G52"/>
    <mergeCell ref="A53:G53"/>
    <mergeCell ref="A49:G49"/>
    <mergeCell ref="A50:G50"/>
    <mergeCell ref="A51:G51"/>
    <mergeCell ref="A58:G58"/>
    <mergeCell ref="A54:G54"/>
    <mergeCell ref="A55:G55"/>
    <mergeCell ref="A56:G56"/>
    <mergeCell ref="A47:G47"/>
    <mergeCell ref="A39:G39"/>
    <mergeCell ref="A40:G40"/>
    <mergeCell ref="A30:G30"/>
    <mergeCell ref="A31:G31"/>
    <mergeCell ref="A32:G32"/>
    <mergeCell ref="A33:G33"/>
    <mergeCell ref="A34:G34"/>
    <mergeCell ref="A35:G35"/>
    <mergeCell ref="A36:G36"/>
    <mergeCell ref="A37:G37"/>
    <mergeCell ref="A29:G29"/>
    <mergeCell ref="B1:C1"/>
    <mergeCell ref="F1:G1"/>
    <mergeCell ref="B2:G2"/>
    <mergeCell ref="B4:G4"/>
    <mergeCell ref="B5:G5"/>
    <mergeCell ref="A42:G42"/>
    <mergeCell ref="A57:G57"/>
    <mergeCell ref="A43:G43"/>
    <mergeCell ref="B11:G11"/>
    <mergeCell ref="J11:K11"/>
    <mergeCell ref="B12:G12"/>
    <mergeCell ref="B13:G13"/>
    <mergeCell ref="B14:G14"/>
    <mergeCell ref="B16:G16"/>
    <mergeCell ref="B15:G15"/>
    <mergeCell ref="A23:A24"/>
    <mergeCell ref="A25:A26"/>
    <mergeCell ref="A41:G41"/>
    <mergeCell ref="A27:G27"/>
    <mergeCell ref="A38:G38"/>
    <mergeCell ref="A28:G28"/>
    <mergeCell ref="N4:S4"/>
    <mergeCell ref="P9:Q9"/>
    <mergeCell ref="P11:Q11"/>
    <mergeCell ref="A18:C18"/>
    <mergeCell ref="A19:A22"/>
    <mergeCell ref="C19:C22"/>
    <mergeCell ref="J9:K9"/>
    <mergeCell ref="B10:G10"/>
    <mergeCell ref="B6:D6"/>
    <mergeCell ref="B7:D7"/>
    <mergeCell ref="B8:G8"/>
    <mergeCell ref="B9:G9"/>
    <mergeCell ref="H4:M4"/>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基本!$D$27:$D$31</xm:f>
          </x14:formula1>
          <xm:sqref>I7</xm:sqref>
        </x14:dataValidation>
        <x14:dataValidation type="list" allowBlank="1" showInputMessage="1" showErrorMessage="1">
          <x14:formula1>
            <xm:f>基本!$A$16:$A$19</xm:f>
          </x14:formula1>
          <xm:sqref>K8</xm:sqref>
        </x14:dataValidation>
        <x14:dataValidation type="list" allowBlank="1" showInputMessage="1" showErrorMessage="1">
          <x14:formula1>
            <xm:f>基本!$C$27:$C$37</xm:f>
          </x14:formula1>
          <xm:sqref>I15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S57"/>
  <sheetViews>
    <sheetView zoomScaleNormal="100" workbookViewId="0">
      <selection activeCell="B2" sqref="B2:G2"/>
    </sheetView>
  </sheetViews>
  <sheetFormatPr defaultRowHeight="13.5"/>
  <cols>
    <col min="1" max="1" width="7.875" style="120" customWidth="1"/>
    <col min="2" max="2" width="8.5" style="120" customWidth="1"/>
    <col min="3" max="3" width="6.625" style="120" customWidth="1"/>
    <col min="4" max="4" width="15.75" style="120" customWidth="1"/>
    <col min="5" max="6" width="15.75" style="79" customWidth="1"/>
    <col min="7" max="7" width="18.25" style="79" customWidth="1"/>
    <col min="8" max="8" width="17.375" style="79" customWidth="1"/>
    <col min="9" max="9" width="14.625" style="79" customWidth="1"/>
    <col min="10" max="10" width="8.375" style="79" customWidth="1"/>
    <col min="11" max="11" width="7.5" style="79" customWidth="1"/>
    <col min="12" max="12" width="7.875" style="120" customWidth="1"/>
    <col min="13" max="13" width="9.25" style="120" customWidth="1"/>
    <col min="14" max="14" width="12.375" style="120" customWidth="1"/>
    <col min="15" max="16384" width="9" style="120"/>
  </cols>
  <sheetData>
    <row r="1" spans="1:19" ht="21">
      <c r="A1" s="39" t="s">
        <v>118</v>
      </c>
      <c r="B1" s="573">
        <v>17</v>
      </c>
      <c r="C1" s="574"/>
      <c r="D1" s="40" t="s">
        <v>40</v>
      </c>
      <c r="E1" s="41" t="s">
        <v>115</v>
      </c>
      <c r="F1" s="575"/>
      <c r="G1" s="576"/>
      <c r="H1" s="84" t="s">
        <v>55</v>
      </c>
    </row>
    <row r="2" spans="1:19" ht="24.75" customHeight="1">
      <c r="A2" s="40" t="s">
        <v>0</v>
      </c>
      <c r="B2" s="577" t="s">
        <v>657</v>
      </c>
      <c r="C2" s="577"/>
      <c r="D2" s="577"/>
      <c r="E2" s="577"/>
      <c r="F2" s="577"/>
      <c r="G2" s="577"/>
      <c r="H2" s="84" t="s">
        <v>56</v>
      </c>
    </row>
    <row r="3" spans="1:19" ht="19.5" customHeight="1">
      <c r="A3" s="90" t="s">
        <v>48</v>
      </c>
      <c r="B3" s="79"/>
      <c r="C3" s="79"/>
      <c r="D3" s="79"/>
      <c r="I3" s="84"/>
    </row>
    <row r="4" spans="1:19">
      <c r="A4" s="67" t="s">
        <v>46</v>
      </c>
      <c r="B4" s="480" t="s">
        <v>650</v>
      </c>
      <c r="C4" s="481"/>
      <c r="D4" s="481"/>
      <c r="E4" s="481"/>
      <c r="F4" s="481"/>
      <c r="G4" s="482"/>
      <c r="H4" s="394" t="s">
        <v>646</v>
      </c>
      <c r="I4" s="395"/>
      <c r="J4" s="395"/>
      <c r="K4" s="395"/>
      <c r="L4" s="395"/>
      <c r="M4" s="396"/>
      <c r="N4" s="394" t="s">
        <v>646</v>
      </c>
      <c r="O4" s="395"/>
      <c r="P4" s="395"/>
      <c r="Q4" s="395"/>
      <c r="R4" s="395"/>
      <c r="S4" s="396"/>
    </row>
    <row r="5" spans="1:19">
      <c r="A5" s="68" t="s">
        <v>39</v>
      </c>
      <c r="B5" s="480" t="s">
        <v>651</v>
      </c>
      <c r="C5" s="481"/>
      <c r="D5" s="481"/>
      <c r="E5" s="481"/>
      <c r="F5" s="481"/>
      <c r="G5" s="482"/>
      <c r="H5" s="330" t="s">
        <v>43</v>
      </c>
      <c r="I5" s="338" t="s">
        <v>70</v>
      </c>
      <c r="J5" s="332"/>
      <c r="N5" s="330" t="s">
        <v>43</v>
      </c>
      <c r="O5" s="332" t="s">
        <v>71</v>
      </c>
      <c r="P5" s="332" t="s">
        <v>100</v>
      </c>
      <c r="Q5" s="79"/>
    </row>
    <row r="6" spans="1:19">
      <c r="A6" s="68" t="s">
        <v>7</v>
      </c>
      <c r="B6" s="480" t="s">
        <v>5</v>
      </c>
      <c r="C6" s="481"/>
      <c r="D6" s="482"/>
      <c r="E6" s="296" t="s">
        <v>43</v>
      </c>
      <c r="F6" s="152" t="str">
        <f>$I$5</f>
        <v>近接範囲</v>
      </c>
      <c r="G6" s="297" t="str">
        <f>IF($J$5 = 0,"", $J$5)</f>
        <v/>
      </c>
      <c r="H6" s="330" t="s">
        <v>66</v>
      </c>
      <c r="I6" s="338" t="s">
        <v>681</v>
      </c>
      <c r="J6" s="332">
        <v>4</v>
      </c>
      <c r="N6" s="330" t="s">
        <v>66</v>
      </c>
      <c r="O6" s="332"/>
      <c r="P6" s="332"/>
      <c r="Q6" s="79"/>
    </row>
    <row r="7" spans="1:19">
      <c r="A7" s="69" t="s">
        <v>6</v>
      </c>
      <c r="B7" s="584" t="s">
        <v>658</v>
      </c>
      <c r="C7" s="585"/>
      <c r="D7" s="586"/>
      <c r="E7" s="296" t="s">
        <v>66</v>
      </c>
      <c r="F7" s="152" t="str">
        <f>IF($I$6 = 0,"", $I$6)</f>
        <v>爆発</v>
      </c>
      <c r="G7" s="152">
        <f>IF($J$6 = 0,"", $J$6)</f>
        <v>4</v>
      </c>
      <c r="H7" s="330" t="s">
        <v>85</v>
      </c>
      <c r="I7" s="332" t="s">
        <v>116</v>
      </c>
      <c r="J7" s="84" t="s">
        <v>62</v>
      </c>
      <c r="L7" s="176" t="s">
        <v>318</v>
      </c>
      <c r="N7" s="330" t="s">
        <v>85</v>
      </c>
      <c r="O7" s="332" t="s">
        <v>525</v>
      </c>
      <c r="P7" s="84" t="s">
        <v>62</v>
      </c>
      <c r="Q7" s="79"/>
      <c r="R7" s="176" t="s">
        <v>318</v>
      </c>
    </row>
    <row r="8" spans="1:19">
      <c r="A8" s="70" t="s">
        <v>61</v>
      </c>
      <c r="B8" s="474" t="s">
        <v>660</v>
      </c>
      <c r="C8" s="475"/>
      <c r="D8" s="475"/>
      <c r="E8" s="475"/>
      <c r="F8" s="475"/>
      <c r="G8" s="476"/>
      <c r="H8" s="330" t="s">
        <v>51</v>
      </c>
      <c r="I8" s="332" t="s">
        <v>12</v>
      </c>
      <c r="J8" s="331">
        <f>IF($I$8 = "筋力",基本!$C$5,IF($I$8 = "耐久力",基本!$C$6,IF($I$8 = "敏捷力",基本!$C$7,IF($I$8 = "知力",基本!$C$8,IF($I$8 = "判断力",基本!$C$9,IF($I$8 = "魅力",基本!$C$10,""))))))</f>
        <v>6</v>
      </c>
      <c r="K8" s="332" t="s">
        <v>90</v>
      </c>
      <c r="L8" s="177">
        <f>$J$8+$L$9+$I$9</f>
        <v>22</v>
      </c>
      <c r="N8" s="330" t="s">
        <v>51</v>
      </c>
      <c r="O8" s="332" t="s">
        <v>12</v>
      </c>
      <c r="P8" s="331">
        <f>IF(O8="",0,VLOOKUP(O8,基本!$A$5:'基本'!$C$10,3,FALSE))</f>
        <v>6</v>
      </c>
      <c r="Q8" s="332" t="s">
        <v>90</v>
      </c>
      <c r="R8" s="177">
        <f>$P$8+$O$9+$R$9</f>
        <v>22</v>
      </c>
    </row>
    <row r="9" spans="1:19" ht="14.25" customHeight="1">
      <c r="A9" s="71"/>
      <c r="B9" s="505" t="s">
        <v>659</v>
      </c>
      <c r="C9" s="506"/>
      <c r="D9" s="506"/>
      <c r="E9" s="506"/>
      <c r="F9" s="506"/>
      <c r="G9" s="507"/>
      <c r="H9" s="330" t="s">
        <v>58</v>
      </c>
      <c r="I9" s="332">
        <v>0</v>
      </c>
      <c r="J9" s="394" t="s">
        <v>53</v>
      </c>
      <c r="K9" s="396"/>
      <c r="L9" s="331">
        <f>IF($I$7=基本!$F$4,基本!$P$7,IF($I$7=基本!$F$13,基本!$P$16,IF($I$7=基本!$F$22,基本!$P$25,IF($I$7=基本!$F$31,基本!$P$34,IF($I$7=基本!$F$40,基本!$P$43,0)))))</f>
        <v>16</v>
      </c>
      <c r="N9" s="330" t="s">
        <v>58</v>
      </c>
      <c r="O9" s="332">
        <v>0</v>
      </c>
      <c r="P9" s="394" t="s">
        <v>53</v>
      </c>
      <c r="Q9" s="396"/>
      <c r="R9" s="331">
        <f>IF($O$7=基本!$F$4,基本!$P$7,IF($O$7=基本!$F$13,基本!$P$16,IF($O$7=基本!$F$22,基本!$P$25,IF($O$7=基本!$F$31,基本!$P$34,IF($O$7=基本!$F$40,基本!$P$43,0)))))</f>
        <v>16</v>
      </c>
    </row>
    <row r="10" spans="1:19" ht="14.25" customHeight="1">
      <c r="A10" s="69" t="s">
        <v>6</v>
      </c>
      <c r="B10" s="520" t="s">
        <v>692</v>
      </c>
      <c r="C10" s="521"/>
      <c r="D10" s="521"/>
      <c r="E10" s="521"/>
      <c r="F10" s="521"/>
      <c r="G10" s="522"/>
      <c r="H10" s="328" t="s">
        <v>52</v>
      </c>
      <c r="I10" s="332" t="s">
        <v>12</v>
      </c>
      <c r="J10" s="88">
        <f>IF(I10 = "筋力",基本!$C$5,IF(I10 = "耐久力",基本!$C$6,IF(I10 = "敏捷力",基本!$C$7,IF(I10 = "知力",基本!$C$8,IF(I10 = "判断力",基本!$C$9,IF(I10 = "魅力",基本!$C$10,""))))))</f>
        <v>6</v>
      </c>
      <c r="K10" s="332" t="s">
        <v>16</v>
      </c>
      <c r="L10" s="88">
        <f>IF(K10 = "筋力",基本!$C$5,IF(K10 = "耐久力",基本!$C$6,IF(K10 = "敏捷力",基本!$C$7,IF(K10 = "知力",基本!$C$8,IF(K10 = "判断力",基本!$C$9,IF(K10 = "魅力",基本!$C$10,""))))))</f>
        <v>6</v>
      </c>
      <c r="N10" s="328" t="s">
        <v>52</v>
      </c>
      <c r="O10" s="332" t="s">
        <v>12</v>
      </c>
      <c r="P10" s="88">
        <f>IF(O10 = "筋力",基本!$C$5,IF(O10 = "耐久力",基本!$C$6,IF(O10 = "敏捷力",基本!$C$7,IF(O10 = "知力",基本!$C$8,IF(O10 = "判断力",基本!$C$9,IF(O10 = "魅力",基本!$C$10,""))))))</f>
        <v>6</v>
      </c>
      <c r="Q10" s="332" t="s">
        <v>16</v>
      </c>
      <c r="R10" s="88">
        <f>IF(Q10 = "筋力",基本!$C$5,IF(Q10 = "耐久力",基本!$C$6,IF(Q10 = "敏捷力",基本!$C$7,IF(Q10 = "知力",基本!$C$8,IF(Q10 = "判断力",基本!$C$9,IF(Q10 = "魅力",基本!$C$10,""))))))</f>
        <v>6</v>
      </c>
    </row>
    <row r="11" spans="1:19" ht="14.25" customHeight="1">
      <c r="A11" s="69" t="s">
        <v>8</v>
      </c>
      <c r="B11" s="480" t="s">
        <v>275</v>
      </c>
      <c r="C11" s="481"/>
      <c r="D11" s="481"/>
      <c r="E11" s="481"/>
      <c r="F11" s="481"/>
      <c r="G11" s="482"/>
      <c r="H11" s="330" t="s">
        <v>59</v>
      </c>
      <c r="I11" s="332">
        <v>0</v>
      </c>
      <c r="J11" s="394" t="s">
        <v>54</v>
      </c>
      <c r="K11" s="396"/>
      <c r="L11" s="331">
        <f>IF($I$7=基本!$F$4,基本!$P$9,IF($I$7=基本!$F$13,基本!$P$18,IF($I$7=基本!$F$22,基本!$P$27,IF($I$7=基本!$F$31,基本!$P$36,IF($I$7=基本!$F$40,基本!$P$45,0)))))</f>
        <v>6</v>
      </c>
      <c r="N11" s="330" t="s">
        <v>59</v>
      </c>
      <c r="O11" s="332">
        <v>0</v>
      </c>
      <c r="P11" s="394" t="s">
        <v>643</v>
      </c>
      <c r="Q11" s="396"/>
      <c r="R11" s="331">
        <f>IF($O$7=基本!$F$4,基本!$P$9,IF($O$7=基本!$F$13,基本!$P$18,IF($O$7=基本!$F$22,基本!$P$27,IF($O$7=基本!$F$31,基本!$P$36,IF($O$7=基本!$F$40,基本!$P$45,0)))))</f>
        <v>6</v>
      </c>
    </row>
    <row r="12" spans="1:19" ht="13.5" customHeight="1">
      <c r="A12" s="71" t="s">
        <v>9</v>
      </c>
      <c r="B12" s="474" t="s">
        <v>661</v>
      </c>
      <c r="C12" s="475"/>
      <c r="D12" s="475"/>
      <c r="E12" s="475"/>
      <c r="F12" s="475"/>
      <c r="G12" s="476"/>
      <c r="H12" s="329" t="s">
        <v>319</v>
      </c>
      <c r="I12" s="332">
        <v>2</v>
      </c>
      <c r="J12" s="120"/>
      <c r="K12" s="120"/>
      <c r="L12" s="176" t="s">
        <v>318</v>
      </c>
      <c r="M12" s="334" t="s">
        <v>60</v>
      </c>
      <c r="N12" s="329" t="s">
        <v>319</v>
      </c>
      <c r="O12" s="332">
        <v>2</v>
      </c>
      <c r="R12" s="176" t="s">
        <v>318</v>
      </c>
      <c r="S12" s="334" t="s">
        <v>60</v>
      </c>
    </row>
    <row r="13" spans="1:19" ht="13.5" customHeight="1">
      <c r="A13" s="71"/>
      <c r="B13" s="483" t="s">
        <v>662</v>
      </c>
      <c r="C13" s="472"/>
      <c r="D13" s="472"/>
      <c r="E13" s="472"/>
      <c r="F13" s="472"/>
      <c r="G13" s="484"/>
      <c r="H13" s="329" t="s">
        <v>86</v>
      </c>
      <c r="I13" s="32">
        <f>IF($I$7=基本!$F$4,基本!$F$9,IF($I$7=基本!$F$13,基本!$F$18,IF($I$7=基本!$F$22,基本!$F$27,IF($I$7=基本!$F$31,基本!$F$36,IF($I$7=基本!$F$40,基本!$F$45,0)))))*$I$12</f>
        <v>2</v>
      </c>
      <c r="J13" s="330" t="s">
        <v>44</v>
      </c>
      <c r="K13" s="32">
        <f>IF($I$7=基本!$F$4,基本!$H$9,IF($I$7=基本!$F$13,基本!$H$18,IF($I$7=基本!$F$22,基本!$H$27,IF($I$7=基本!$F$31,基本!$H$36,IF($I$7=基本!$F$40,基本!$H$45,0)))))</f>
        <v>10</v>
      </c>
      <c r="L13" s="177">
        <f>$J$10+$L$11+$I$11</f>
        <v>12</v>
      </c>
      <c r="M13" s="338" t="s">
        <v>691</v>
      </c>
      <c r="N13" s="329" t="s">
        <v>644</v>
      </c>
      <c r="O13" s="42">
        <f>IF($O$7=基本!$F$4,基本!$F$9,IF($O$7=基本!$F$13,基本!$F$18,IF($O$7=基本!$F$22,基本!$F$27,IF($O$7=基本!$F$31,基本!$F$36,IF($O$7=基本!$F$40,基本!$F$45,0)))))*$O$12</f>
        <v>2</v>
      </c>
      <c r="P13" s="330" t="s">
        <v>645</v>
      </c>
      <c r="Q13" s="42">
        <f>IF($O$7=基本!$F$4,基本!$H$9,IF($O$7=基本!$F$13,基本!$H$18,IF($O$7=基本!$F$22,基本!$H$27,IF($O$7=基本!$F$31,基本!$H$36,IF($O$7=基本!$F$40,基本!$H$45,0)))))</f>
        <v>6</v>
      </c>
      <c r="R13" s="177">
        <f>$P$10+$O$11+$R$11</f>
        <v>12</v>
      </c>
      <c r="S13" s="338" t="s">
        <v>691</v>
      </c>
    </row>
    <row r="14" spans="1:19" ht="5.25" customHeight="1">
      <c r="A14" s="92"/>
      <c r="B14" s="537"/>
      <c r="C14" s="538"/>
      <c r="D14" s="538"/>
      <c r="E14" s="538"/>
      <c r="F14" s="538"/>
      <c r="G14" s="539"/>
      <c r="H14" s="330" t="s">
        <v>50</v>
      </c>
      <c r="I14" s="32">
        <f>IF($I$7=基本!$F$4,基本!$L$11,IF($I$7=基本!$F$13,基本!$L$20,IF($I$7=基本!$F$22,基本!$L$29,IF($I$7=基本!$F$31,基本!$L$38,IF($I$7=基本!$F$40,基本!$L$47,0)))))</f>
        <v>4</v>
      </c>
      <c r="J14" s="330" t="s">
        <v>44</v>
      </c>
      <c r="K14" s="32">
        <f>IF($I$7=基本!$F$4,基本!$N$11,IF($I$7=基本!$F$13,基本!$N$20,IF($I$7=基本!$F$22,基本!$N$29,IF($I$7=基本!$F$31,基本!$N$38,IF($I$7=基本!$F$40,基本!$N$47,0)))))</f>
        <v>8</v>
      </c>
      <c r="L14" s="177">
        <f>$J$10+$L$11+$I$11+($I$13*$K$13)</f>
        <v>32</v>
      </c>
      <c r="M14" s="338" t="s">
        <v>691</v>
      </c>
      <c r="N14" s="330" t="s">
        <v>50</v>
      </c>
      <c r="O14" s="42">
        <f>IF($O$7=基本!$F$4,基本!$L$11,IF($O$7=基本!$F$13,基本!$L$20,IF($O$7=基本!$F$22,基本!$L$29,IF($O$7=基本!$F$31,基本!$L$38,IF($O$7=基本!$F$40,基本!$L$47,0)))))</f>
        <v>4</v>
      </c>
      <c r="P14" s="330" t="s">
        <v>645</v>
      </c>
      <c r="Q14" s="42">
        <f>IF($O$7=基本!$F$4,基本!$N$11,IF($O$7=基本!$F$13,基本!$N$20,IF($O$7=基本!$F$22,基本!$N$29,IF($O$7=基本!$F$31,基本!$N$38,IF($O$7=基本!$F$40,基本!$N$47,0)))))</f>
        <v>6</v>
      </c>
      <c r="R14" s="177">
        <f>$P$10+$R$11+$O$11+($O$13*$Q$13)</f>
        <v>24</v>
      </c>
      <c r="S14" s="338" t="s">
        <v>691</v>
      </c>
    </row>
    <row r="15" spans="1:19" ht="5.25" customHeight="1">
      <c r="A15" s="71"/>
      <c r="B15" s="554"/>
      <c r="C15" s="555"/>
      <c r="D15" s="555"/>
      <c r="E15" s="555"/>
      <c r="F15" s="555"/>
      <c r="G15" s="556"/>
      <c r="H15" s="120"/>
      <c r="I15" s="120"/>
      <c r="J15" s="120"/>
      <c r="K15" s="120"/>
    </row>
    <row r="16" spans="1:19" ht="5.25" customHeight="1">
      <c r="A16" s="72"/>
      <c r="B16" s="452"/>
      <c r="C16" s="453"/>
      <c r="D16" s="453"/>
      <c r="E16" s="453"/>
      <c r="F16" s="453"/>
      <c r="G16" s="454"/>
      <c r="H16" s="120"/>
      <c r="I16" s="120"/>
      <c r="J16" s="120"/>
      <c r="K16" s="120"/>
    </row>
    <row r="17" spans="1:11" ht="14.25" thickBot="1">
      <c r="A17" s="113" t="s">
        <v>47</v>
      </c>
      <c r="E17" s="80"/>
      <c r="H17" s="120"/>
      <c r="I17" s="120"/>
      <c r="J17" s="120"/>
      <c r="K17" s="120"/>
    </row>
    <row r="18" spans="1:11" ht="15" customHeight="1">
      <c r="A18" s="558" t="str">
        <f>$B$2</f>
        <v>ウォーデンズ･ルアー</v>
      </c>
      <c r="B18" s="559"/>
      <c r="C18" s="560"/>
      <c r="D18" s="550" t="s">
        <v>2</v>
      </c>
      <c r="E18" s="551"/>
      <c r="F18" s="552" t="s">
        <v>525</v>
      </c>
      <c r="G18" s="553"/>
      <c r="H18" s="120"/>
      <c r="I18" s="120"/>
      <c r="J18" s="120"/>
      <c r="K18" s="120"/>
    </row>
    <row r="19" spans="1:11" ht="18.75" customHeight="1" thickBot="1">
      <c r="A19" s="561"/>
      <c r="B19" s="562"/>
      <c r="C19" s="563"/>
      <c r="D19" s="190" t="s">
        <v>2</v>
      </c>
      <c r="E19" s="191" t="s">
        <v>1</v>
      </c>
      <c r="F19" s="190" t="s">
        <v>2</v>
      </c>
      <c r="G19" s="343" t="s">
        <v>1</v>
      </c>
      <c r="H19" s="120"/>
      <c r="I19" s="120"/>
      <c r="J19" s="120"/>
      <c r="K19" s="120"/>
    </row>
    <row r="20" spans="1:11" ht="21" customHeight="1">
      <c r="A20" s="540" t="s">
        <v>42</v>
      </c>
      <c r="B20" s="186" t="s">
        <v>117</v>
      </c>
      <c r="C20" s="542" t="str">
        <f>$K$8</f>
        <v>AC</v>
      </c>
      <c r="D20" s="185" t="str">
        <f>$L$8 &amp; "+1d20"</f>
        <v>22+1d20</v>
      </c>
      <c r="E20" s="198" t="str">
        <f>$L$8+2 &amp; "+1d20"</f>
        <v>24+1d20</v>
      </c>
      <c r="F20" s="185" t="str">
        <f>$R$8 &amp; "+1d20"</f>
        <v>22+1d20</v>
      </c>
      <c r="G20" s="344" t="str">
        <f>$R$8+2 &amp; "+1d20"</f>
        <v>24+1d20</v>
      </c>
      <c r="H20" s="120"/>
      <c r="I20" s="120"/>
      <c r="J20" s="120"/>
      <c r="K20" s="120"/>
    </row>
    <row r="21" spans="1:11" ht="24" customHeight="1" thickBot="1">
      <c r="A21" s="541"/>
      <c r="B21" s="345" t="s">
        <v>668</v>
      </c>
      <c r="C21" s="543"/>
      <c r="D21" s="199" t="str">
        <f>3+$L$8 &amp; "+1d20"</f>
        <v>25+1d20</v>
      </c>
      <c r="E21" s="346" t="str">
        <f>3+$L$8+2 &amp; "+1d20"</f>
        <v>27+1d20</v>
      </c>
      <c r="F21" s="199" t="str">
        <f>3+$R$8 &amp; "+1d20"</f>
        <v>25+1d20</v>
      </c>
      <c r="G21" s="200" t="str">
        <f>3+$R$8+2 &amp; "+1d20"</f>
        <v>27+1d20</v>
      </c>
      <c r="H21" s="120"/>
      <c r="I21" s="120"/>
      <c r="J21" s="120"/>
      <c r="K21" s="120"/>
    </row>
    <row r="22" spans="1:11" ht="23.25" customHeight="1">
      <c r="A22" s="470" t="s">
        <v>360</v>
      </c>
      <c r="B22" s="137" t="s">
        <v>361</v>
      </c>
      <c r="C22" s="335" t="str">
        <f>IF($M$13 = 0,"", $M$13)</f>
        <v>火</v>
      </c>
      <c r="D22" s="56" t="str">
        <f>-2+$L$13 &amp; "+" &amp; $I$13 &amp; "d" &amp; $K$13</f>
        <v>10+2d10</v>
      </c>
      <c r="E22" s="56" t="str">
        <f>-2+$L$13 &amp; "+" &amp; $I$13 &amp; "d" &amp; $K$13</f>
        <v>10+2d10</v>
      </c>
      <c r="F22" s="56" t="str">
        <f>-2+$R$13 &amp; "+" &amp; $O$13 &amp; "d" &amp; $Q$13</f>
        <v>10+2d6</v>
      </c>
      <c r="G22" s="57" t="str">
        <f>-2+$R$13 &amp; "+" &amp; $O$13 &amp; "d" &amp; $Q$13</f>
        <v>10+2d6</v>
      </c>
      <c r="H22" s="120"/>
      <c r="I22" s="120"/>
      <c r="J22" s="120"/>
      <c r="K22" s="120"/>
    </row>
    <row r="23" spans="1:11" ht="23.25" customHeight="1" thickBot="1">
      <c r="A23" s="471"/>
      <c r="B23" s="148" t="s">
        <v>362</v>
      </c>
      <c r="C23" s="347" t="str">
        <f>IF($M$14 = 0,"", $M$14)</f>
        <v>火</v>
      </c>
      <c r="D23" s="150" t="str">
        <f>-2+$L$14 &amp; IF($I$14 =0,"","＆別の敵へ" &amp; $I$14 &amp; "d" &amp; $K$14)</f>
        <v>30＆別の敵へ4d8</v>
      </c>
      <c r="E23" s="150" t="str">
        <f t="shared" ref="E23" si="0">-2+$L$14 &amp; IF($I$14 =0,"","＆別の敵へ" &amp; $I$14 &amp; "d" &amp; $K$14)</f>
        <v>30＆別の敵へ4d8</v>
      </c>
      <c r="F23" s="150" t="str">
        <f>-2+$R$14 &amp; IF($O$14 = 0,"","+" &amp; $O$14 &amp; "d" &amp; $Q$14)</f>
        <v>22+4d6</v>
      </c>
      <c r="G23" s="305" t="str">
        <f>-2+$R$14 &amp; IF($O$14 = 0,"","+" &amp; $O$14 &amp; "d" &amp; $Q$14)</f>
        <v>22+4d6</v>
      </c>
      <c r="H23" s="120"/>
      <c r="I23" s="120"/>
      <c r="J23" s="120"/>
      <c r="K23" s="120"/>
    </row>
    <row r="24" spans="1:11" ht="23.25" customHeight="1">
      <c r="A24" s="455" t="s">
        <v>136</v>
      </c>
      <c r="B24" s="137" t="s">
        <v>361</v>
      </c>
      <c r="C24" s="335" t="str">
        <f>IF($M$13 = 0,"", $M$13)</f>
        <v>火</v>
      </c>
      <c r="D24" s="56" t="str">
        <f>$L$13 &amp; "+" &amp; $I$13 &amp; "d" &amp; $K$13</f>
        <v>12+2d10</v>
      </c>
      <c r="E24" s="56" t="str">
        <f>$L$13 &amp; "+" &amp; $I$13 &amp; "d" &amp; $K$13</f>
        <v>12+2d10</v>
      </c>
      <c r="F24" s="56" t="str">
        <f>$R$13 &amp; "+" &amp; $O$13 &amp; "d" &amp; $Q$13</f>
        <v>12+2d6</v>
      </c>
      <c r="G24" s="57" t="str">
        <f>$R$13 &amp; "+" &amp; $O$13 &amp; "d" &amp; $Q$13</f>
        <v>12+2d6</v>
      </c>
      <c r="H24" s="120"/>
      <c r="I24" s="120"/>
      <c r="J24" s="120"/>
      <c r="K24" s="120"/>
    </row>
    <row r="25" spans="1:11" ht="23.25" customHeight="1" thickBot="1">
      <c r="A25" s="557"/>
      <c r="B25" s="148" t="s">
        <v>362</v>
      </c>
      <c r="C25" s="347" t="str">
        <f>IF($M$14 = 0,"", $M$14)</f>
        <v>火</v>
      </c>
      <c r="D25" s="333" t="str">
        <f>$L$14 &amp; IF($I$14 =0,"","＆別の敵へ" &amp; $I$14 &amp; "d" &amp; $K$14)</f>
        <v>32＆別の敵へ4d8</v>
      </c>
      <c r="E25" s="333" t="str">
        <f t="shared" ref="E25" si="1">$L$14 &amp; IF($I$14 =0,"","＆別の敵へ" &amp; $I$14 &amp; "d" &amp; $K$14)</f>
        <v>32＆別の敵へ4d8</v>
      </c>
      <c r="F25" s="333" t="str">
        <f>$R$14 &amp; IF($O$14 = 0,"","+" &amp; $O$14 &amp; "d" &amp; $Q$14)</f>
        <v>24+4d6</v>
      </c>
      <c r="G25" s="305" t="str">
        <f>$R$14 &amp; IF($O$14 = 0,"","+" &amp; $O$14 &amp; "d" &amp; $Q$14)</f>
        <v>24+4d6</v>
      </c>
      <c r="H25" s="120"/>
      <c r="I25" s="120"/>
      <c r="J25" s="120"/>
      <c r="K25" s="120"/>
    </row>
    <row r="26" spans="1:11" ht="8.25" customHeight="1">
      <c r="A26" s="472"/>
      <c r="B26" s="472"/>
      <c r="C26" s="472"/>
      <c r="D26" s="472"/>
      <c r="E26" s="472"/>
      <c r="F26" s="472"/>
      <c r="G26" s="472"/>
    </row>
    <row r="27" spans="1:11" ht="15" customHeight="1">
      <c r="A27" s="457" t="s">
        <v>676</v>
      </c>
      <c r="B27" s="457"/>
      <c r="C27" s="457"/>
      <c r="D27" s="457"/>
      <c r="E27" s="457"/>
      <c r="F27" s="457"/>
      <c r="G27" s="457"/>
      <c r="H27" s="120"/>
      <c r="I27" s="120"/>
      <c r="J27" s="120"/>
      <c r="K27" s="120"/>
    </row>
    <row r="28" spans="1:11" ht="13.5" customHeight="1">
      <c r="A28" s="458" t="s">
        <v>677</v>
      </c>
      <c r="B28" s="458"/>
      <c r="C28" s="458"/>
      <c r="D28" s="458"/>
      <c r="E28" s="458"/>
      <c r="F28" s="458"/>
      <c r="G28" s="458"/>
    </row>
    <row r="29" spans="1:11" s="348" customFormat="1" ht="15" customHeight="1">
      <c r="A29" s="457" t="s">
        <v>263</v>
      </c>
      <c r="B29" s="457"/>
      <c r="C29" s="457"/>
      <c r="D29" s="457"/>
      <c r="E29" s="457"/>
      <c r="F29" s="457"/>
      <c r="G29" s="457"/>
      <c r="H29" s="79"/>
    </row>
    <row r="30" spans="1:11" s="348" customFormat="1" ht="13.5" customHeight="1">
      <c r="A30" s="458" t="s">
        <v>264</v>
      </c>
      <c r="B30" s="458"/>
      <c r="C30" s="458"/>
      <c r="D30" s="458"/>
      <c r="E30" s="458"/>
      <c r="F30" s="458"/>
      <c r="G30" s="458"/>
      <c r="H30" s="79"/>
      <c r="I30" s="79"/>
      <c r="J30" s="79"/>
      <c r="K30" s="79"/>
    </row>
    <row r="31" spans="1:11" s="348" customFormat="1" ht="13.5" customHeight="1">
      <c r="A31" s="458" t="s">
        <v>265</v>
      </c>
      <c r="B31" s="458"/>
      <c r="C31" s="458"/>
      <c r="D31" s="458"/>
      <c r="E31" s="458"/>
      <c r="F31" s="458"/>
      <c r="G31" s="458"/>
      <c r="H31" s="79"/>
      <c r="I31" s="79"/>
      <c r="J31" s="79"/>
      <c r="K31" s="79"/>
    </row>
    <row r="32" spans="1:11" ht="15" customHeight="1">
      <c r="A32" s="457" t="s">
        <v>497</v>
      </c>
      <c r="B32" s="457"/>
      <c r="C32" s="457"/>
      <c r="D32" s="457"/>
      <c r="E32" s="457"/>
      <c r="F32" s="457"/>
      <c r="G32" s="457"/>
      <c r="I32" s="120"/>
      <c r="J32" s="120"/>
      <c r="K32" s="120"/>
    </row>
    <row r="33" spans="1:12" ht="13.5" customHeight="1">
      <c r="A33" s="458" t="s">
        <v>412</v>
      </c>
      <c r="B33" s="458"/>
      <c r="C33" s="458"/>
      <c r="D33" s="458"/>
      <c r="E33" s="458"/>
      <c r="F33" s="458"/>
      <c r="G33" s="458"/>
    </row>
    <row r="34" spans="1:12" ht="13.5" customHeight="1">
      <c r="A34" s="458" t="s">
        <v>413</v>
      </c>
      <c r="B34" s="458"/>
      <c r="C34" s="458"/>
      <c r="D34" s="458"/>
      <c r="E34" s="458"/>
      <c r="F34" s="458"/>
      <c r="G34" s="458"/>
    </row>
    <row r="35" spans="1:12" ht="13.5" customHeight="1">
      <c r="A35" s="473" t="s">
        <v>499</v>
      </c>
      <c r="B35" s="458"/>
      <c r="C35" s="458"/>
      <c r="D35" s="458"/>
      <c r="E35" s="458"/>
      <c r="F35" s="458"/>
      <c r="G35" s="458"/>
    </row>
    <row r="36" spans="1:12" ht="13.5" customHeight="1">
      <c r="A36" s="473" t="s">
        <v>500</v>
      </c>
      <c r="B36" s="458"/>
      <c r="C36" s="458"/>
      <c r="D36" s="458"/>
      <c r="E36" s="458"/>
      <c r="F36" s="458"/>
      <c r="G36" s="458"/>
    </row>
    <row r="37" spans="1:12" ht="15" customHeight="1">
      <c r="A37" s="457" t="s">
        <v>322</v>
      </c>
      <c r="B37" s="457"/>
      <c r="C37" s="457"/>
      <c r="D37" s="457"/>
      <c r="E37" s="457"/>
      <c r="F37" s="457"/>
      <c r="G37" s="457"/>
      <c r="I37" s="120"/>
      <c r="J37" s="120"/>
      <c r="K37" s="120"/>
    </row>
    <row r="38" spans="1:12" ht="13.5" customHeight="1">
      <c r="A38" s="490" t="s">
        <v>359</v>
      </c>
      <c r="B38" s="490"/>
      <c r="C38" s="490"/>
      <c r="D38" s="490"/>
      <c r="E38" s="490"/>
      <c r="F38" s="490"/>
      <c r="G38" s="490"/>
    </row>
    <row r="39" spans="1:12" ht="13.5" customHeight="1">
      <c r="A39" s="458" t="s">
        <v>323</v>
      </c>
      <c r="B39" s="458"/>
      <c r="C39" s="458"/>
      <c r="D39" s="458"/>
      <c r="E39" s="458"/>
      <c r="F39" s="458"/>
      <c r="G39" s="458"/>
    </row>
    <row r="40" spans="1:12" ht="8.25" customHeight="1">
      <c r="A40" s="453"/>
      <c r="B40" s="453"/>
      <c r="C40" s="453"/>
      <c r="D40" s="453"/>
      <c r="E40" s="453"/>
      <c r="F40" s="453"/>
      <c r="G40" s="453"/>
    </row>
    <row r="41" spans="1:12">
      <c r="A41" s="531" t="s">
        <v>49</v>
      </c>
      <c r="B41" s="532"/>
      <c r="C41" s="532"/>
      <c r="D41" s="532"/>
      <c r="E41" s="532"/>
      <c r="F41" s="532"/>
      <c r="G41" s="533"/>
    </row>
    <row r="42" spans="1:12" s="79" customFormat="1" ht="8.25" customHeight="1">
      <c r="A42" s="529"/>
      <c r="B42" s="457"/>
      <c r="C42" s="457"/>
      <c r="D42" s="457"/>
      <c r="E42" s="457"/>
      <c r="F42" s="457"/>
      <c r="G42" s="530"/>
      <c r="L42" s="348"/>
    </row>
    <row r="43" spans="1:12" s="79" customFormat="1" ht="13.5" customHeight="1">
      <c r="A43" s="523" t="s">
        <v>713</v>
      </c>
      <c r="B43" s="524"/>
      <c r="C43" s="524"/>
      <c r="D43" s="524"/>
      <c r="E43" s="524"/>
      <c r="F43" s="524"/>
      <c r="G43" s="525"/>
      <c r="L43" s="120"/>
    </row>
    <row r="44" spans="1:12" s="79" customFormat="1" ht="13.5" customHeight="1">
      <c r="A44" s="523" t="s">
        <v>716</v>
      </c>
      <c r="B44" s="524"/>
      <c r="C44" s="524"/>
      <c r="D44" s="524"/>
      <c r="E44" s="524"/>
      <c r="F44" s="524"/>
      <c r="G44" s="525"/>
      <c r="L44" s="120"/>
    </row>
    <row r="45" spans="1:12" s="79" customFormat="1" ht="13.5" customHeight="1">
      <c r="A45" s="523" t="s">
        <v>717</v>
      </c>
      <c r="B45" s="524"/>
      <c r="C45" s="524"/>
      <c r="D45" s="524"/>
      <c r="E45" s="524"/>
      <c r="F45" s="524"/>
      <c r="G45" s="525"/>
      <c r="L45" s="348"/>
    </row>
    <row r="46" spans="1:12" s="79" customFormat="1" ht="13.5" customHeight="1">
      <c r="A46" s="523" t="s">
        <v>718</v>
      </c>
      <c r="B46" s="524"/>
      <c r="C46" s="524"/>
      <c r="D46" s="524"/>
      <c r="E46" s="524"/>
      <c r="F46" s="524"/>
      <c r="G46" s="525"/>
      <c r="L46" s="348"/>
    </row>
    <row r="47" spans="1:12" s="79" customFormat="1" ht="13.5" customHeight="1">
      <c r="A47" s="523" t="s">
        <v>714</v>
      </c>
      <c r="B47" s="524"/>
      <c r="C47" s="524"/>
      <c r="D47" s="524"/>
      <c r="E47" s="524"/>
      <c r="F47" s="524"/>
      <c r="G47" s="525"/>
      <c r="L47" s="348"/>
    </row>
    <row r="48" spans="1:12" s="79" customFormat="1" ht="13.5" customHeight="1">
      <c r="A48" s="523" t="s">
        <v>712</v>
      </c>
      <c r="B48" s="524"/>
      <c r="C48" s="524"/>
      <c r="D48" s="524"/>
      <c r="E48" s="524"/>
      <c r="F48" s="524"/>
      <c r="G48" s="525"/>
      <c r="L48" s="348"/>
    </row>
    <row r="49" spans="1:12" s="79" customFormat="1" ht="13.5" customHeight="1">
      <c r="A49" s="523" t="s">
        <v>719</v>
      </c>
      <c r="B49" s="524"/>
      <c r="C49" s="524"/>
      <c r="D49" s="524"/>
      <c r="E49" s="524"/>
      <c r="F49" s="524"/>
      <c r="G49" s="525"/>
      <c r="L49" s="120"/>
    </row>
    <row r="50" spans="1:12" s="79" customFormat="1" ht="13.5" customHeight="1">
      <c r="A50" s="523" t="s">
        <v>720</v>
      </c>
      <c r="B50" s="524"/>
      <c r="C50" s="524"/>
      <c r="D50" s="524"/>
      <c r="E50" s="524"/>
      <c r="F50" s="524"/>
      <c r="G50" s="525"/>
      <c r="L50" s="120"/>
    </row>
    <row r="51" spans="1:12" s="79" customFormat="1" ht="13.5" customHeight="1">
      <c r="A51" s="523" t="s">
        <v>715</v>
      </c>
      <c r="B51" s="524"/>
      <c r="C51" s="524"/>
      <c r="D51" s="524"/>
      <c r="E51" s="524"/>
      <c r="F51" s="524"/>
      <c r="G51" s="525"/>
      <c r="L51" s="120"/>
    </row>
    <row r="52" spans="1:12" s="79" customFormat="1" ht="13.5" customHeight="1">
      <c r="A52" s="523" t="s">
        <v>724</v>
      </c>
      <c r="B52" s="524"/>
      <c r="C52" s="524"/>
      <c r="D52" s="524"/>
      <c r="E52" s="524"/>
      <c r="F52" s="524"/>
      <c r="G52" s="525"/>
      <c r="L52" s="120"/>
    </row>
    <row r="53" spans="1:12" s="79" customFormat="1" ht="13.5" customHeight="1">
      <c r="A53" s="523" t="s">
        <v>721</v>
      </c>
      <c r="B53" s="524"/>
      <c r="C53" s="524"/>
      <c r="D53" s="524"/>
      <c r="E53" s="524"/>
      <c r="F53" s="524"/>
      <c r="G53" s="525"/>
      <c r="L53" s="120"/>
    </row>
    <row r="54" spans="1:12" s="79" customFormat="1" ht="13.5" customHeight="1">
      <c r="A54" s="523" t="s">
        <v>723</v>
      </c>
      <c r="B54" s="524"/>
      <c r="C54" s="524"/>
      <c r="D54" s="524"/>
      <c r="E54" s="524"/>
      <c r="F54" s="524"/>
      <c r="G54" s="525"/>
      <c r="L54" s="120"/>
    </row>
    <row r="55" spans="1:12" s="79" customFormat="1" ht="13.5" customHeight="1">
      <c r="A55" s="523" t="s">
        <v>722</v>
      </c>
      <c r="B55" s="524"/>
      <c r="C55" s="524"/>
      <c r="D55" s="524"/>
      <c r="E55" s="524"/>
      <c r="F55" s="524"/>
      <c r="G55" s="525"/>
      <c r="L55" s="120"/>
    </row>
    <row r="56" spans="1:12" s="79" customFormat="1" ht="7.5" customHeight="1">
      <c r="A56" s="523"/>
      <c r="B56" s="524"/>
      <c r="C56" s="524"/>
      <c r="D56" s="524"/>
      <c r="E56" s="524"/>
      <c r="F56" s="524"/>
      <c r="G56" s="525"/>
      <c r="L56" s="120"/>
    </row>
    <row r="57" spans="1:12" s="79" customFormat="1" ht="21">
      <c r="A57" s="36" t="s">
        <v>118</v>
      </c>
      <c r="B57" s="298">
        <f>$B$1</f>
        <v>17</v>
      </c>
      <c r="C57" s="37" t="s">
        <v>40</v>
      </c>
      <c r="D57" s="38" t="str">
        <f>$E$1</f>
        <v>遭遇毎</v>
      </c>
      <c r="E57" s="564" t="str">
        <f>$B$2</f>
        <v>ウォーデンズ･ルアー</v>
      </c>
      <c r="F57" s="565"/>
      <c r="G57" s="566"/>
      <c r="L57" s="120"/>
    </row>
  </sheetData>
  <mergeCells count="61">
    <mergeCell ref="B1:C1"/>
    <mergeCell ref="F1:G1"/>
    <mergeCell ref="B2:G2"/>
    <mergeCell ref="B4:G4"/>
    <mergeCell ref="B6:D6"/>
    <mergeCell ref="A20:A21"/>
    <mergeCell ref="C20:C21"/>
    <mergeCell ref="A22:A23"/>
    <mergeCell ref="A24:A25"/>
    <mergeCell ref="B5:G5"/>
    <mergeCell ref="B10:G10"/>
    <mergeCell ref="B7:D7"/>
    <mergeCell ref="B8:G8"/>
    <mergeCell ref="B9:G9"/>
    <mergeCell ref="A50:G50"/>
    <mergeCell ref="A44:G44"/>
    <mergeCell ref="A39:G39"/>
    <mergeCell ref="A26:G26"/>
    <mergeCell ref="A32:G32"/>
    <mergeCell ref="A33:G33"/>
    <mergeCell ref="A34:G34"/>
    <mergeCell ref="A35:G35"/>
    <mergeCell ref="A29:G29"/>
    <mergeCell ref="A30:G30"/>
    <mergeCell ref="A31:G31"/>
    <mergeCell ref="A36:G36"/>
    <mergeCell ref="A37:G37"/>
    <mergeCell ref="A38:G38"/>
    <mergeCell ref="A27:G27"/>
    <mergeCell ref="A28:G28"/>
    <mergeCell ref="E57:G57"/>
    <mergeCell ref="A53:G53"/>
    <mergeCell ref="A56:G56"/>
    <mergeCell ref="A40:G40"/>
    <mergeCell ref="A41:G41"/>
    <mergeCell ref="A55:G55"/>
    <mergeCell ref="A42:G42"/>
    <mergeCell ref="A45:G45"/>
    <mergeCell ref="A47:G47"/>
    <mergeCell ref="A48:G48"/>
    <mergeCell ref="A49:G49"/>
    <mergeCell ref="A46:G46"/>
    <mergeCell ref="A52:G52"/>
    <mergeCell ref="A54:G54"/>
    <mergeCell ref="A51:G51"/>
    <mergeCell ref="A43:G43"/>
    <mergeCell ref="N4:S4"/>
    <mergeCell ref="P9:Q9"/>
    <mergeCell ref="P11:Q11"/>
    <mergeCell ref="A18:C19"/>
    <mergeCell ref="D18:E18"/>
    <mergeCell ref="F18:G18"/>
    <mergeCell ref="B11:G11"/>
    <mergeCell ref="J11:K11"/>
    <mergeCell ref="B12:G12"/>
    <mergeCell ref="B13:G13"/>
    <mergeCell ref="B14:G14"/>
    <mergeCell ref="B15:G15"/>
    <mergeCell ref="B16:G16"/>
    <mergeCell ref="J9:K9"/>
    <mergeCell ref="H4:M4"/>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基本!$D$27:$D$31</xm:f>
          </x14:formula1>
          <xm:sqref>I7</xm:sqref>
        </x14:dataValidation>
        <x14:dataValidation type="list" allowBlank="1" showInputMessage="1" showErrorMessage="1">
          <x14:formula1>
            <xm:f>基本!$A$16:$A$19</xm:f>
          </x14:formula1>
          <xm:sqref>K8</xm:sqref>
        </x14:dataValidation>
        <x14:dataValidation type="list" allowBlank="1" showInputMessage="1" showErrorMessage="1">
          <x14:formula1>
            <xm:f>基本!$C$27:$C$37</xm:f>
          </x14:formula1>
          <xm:sqref>I15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S55"/>
  <sheetViews>
    <sheetView zoomScaleNormal="100" workbookViewId="0">
      <selection activeCell="B12" sqref="B12:G12"/>
    </sheetView>
  </sheetViews>
  <sheetFormatPr defaultRowHeight="13.5"/>
  <cols>
    <col min="1" max="1" width="7.875" style="120" customWidth="1"/>
    <col min="2" max="2" width="8.5" style="120" customWidth="1"/>
    <col min="3" max="3" width="6.625" style="120" customWidth="1"/>
    <col min="4" max="4" width="15.75" style="120" customWidth="1"/>
    <col min="5" max="6" width="15.75" style="79" customWidth="1"/>
    <col min="7" max="7" width="18.25" style="79" customWidth="1"/>
    <col min="8" max="8" width="17.375" style="79" customWidth="1"/>
    <col min="9" max="9" width="14.625" style="79" customWidth="1"/>
    <col min="10" max="10" width="8.375" style="79" customWidth="1"/>
    <col min="11" max="11" width="7.5" style="79" customWidth="1"/>
    <col min="12" max="12" width="7.875" style="120" customWidth="1"/>
    <col min="13" max="13" width="9.25" style="120" customWidth="1"/>
    <col min="14" max="14" width="12.375" style="120" customWidth="1"/>
    <col min="15" max="16384" width="9" style="120"/>
  </cols>
  <sheetData>
    <row r="1" spans="1:19" ht="21">
      <c r="A1" s="105" t="s">
        <v>118</v>
      </c>
      <c r="B1" s="600">
        <v>5</v>
      </c>
      <c r="C1" s="601"/>
      <c r="D1" s="106" t="s">
        <v>40</v>
      </c>
      <c r="E1" s="107" t="s">
        <v>127</v>
      </c>
      <c r="F1" s="602"/>
      <c r="G1" s="603"/>
      <c r="H1" s="84" t="s">
        <v>55</v>
      </c>
    </row>
    <row r="2" spans="1:19" ht="24.75" customHeight="1">
      <c r="A2" s="106" t="s">
        <v>0</v>
      </c>
      <c r="B2" s="604" t="s">
        <v>587</v>
      </c>
      <c r="C2" s="604"/>
      <c r="D2" s="604"/>
      <c r="E2" s="604"/>
      <c r="F2" s="604"/>
      <c r="G2" s="604"/>
      <c r="H2" s="84" t="s">
        <v>56</v>
      </c>
    </row>
    <row r="3" spans="1:19" ht="19.5" customHeight="1">
      <c r="A3" s="90" t="s">
        <v>48</v>
      </c>
      <c r="B3" s="79"/>
      <c r="C3" s="79"/>
      <c r="D3" s="79"/>
      <c r="I3" s="84"/>
    </row>
    <row r="4" spans="1:19">
      <c r="A4" s="67" t="s">
        <v>46</v>
      </c>
      <c r="B4" s="480" t="s">
        <v>160</v>
      </c>
      <c r="C4" s="481"/>
      <c r="D4" s="481"/>
      <c r="E4" s="481"/>
      <c r="F4" s="481"/>
      <c r="G4" s="482"/>
      <c r="H4" s="394" t="s">
        <v>646</v>
      </c>
      <c r="I4" s="395"/>
      <c r="J4" s="395"/>
      <c r="K4" s="395"/>
      <c r="L4" s="395"/>
      <c r="M4" s="396"/>
      <c r="N4" s="394" t="s">
        <v>646</v>
      </c>
      <c r="O4" s="395"/>
      <c r="P4" s="395"/>
      <c r="Q4" s="395"/>
      <c r="R4" s="395"/>
      <c r="S4" s="396"/>
    </row>
    <row r="5" spans="1:19">
      <c r="A5" s="68" t="s">
        <v>39</v>
      </c>
      <c r="B5" s="480" t="s">
        <v>682</v>
      </c>
      <c r="C5" s="481"/>
      <c r="D5" s="481"/>
      <c r="E5" s="481"/>
      <c r="F5" s="481"/>
      <c r="G5" s="482"/>
      <c r="H5" s="330" t="s">
        <v>43</v>
      </c>
      <c r="I5" s="332" t="s">
        <v>69</v>
      </c>
      <c r="J5" s="332" t="s">
        <v>100</v>
      </c>
      <c r="N5" s="330" t="s">
        <v>43</v>
      </c>
      <c r="O5" s="332" t="s">
        <v>71</v>
      </c>
      <c r="P5" s="332" t="s">
        <v>100</v>
      </c>
      <c r="Q5" s="79"/>
    </row>
    <row r="6" spans="1:19">
      <c r="A6" s="68" t="s">
        <v>7</v>
      </c>
      <c r="B6" s="480" t="s">
        <v>5</v>
      </c>
      <c r="C6" s="481"/>
      <c r="D6" s="482"/>
      <c r="E6" s="129" t="s">
        <v>43</v>
      </c>
      <c r="F6" s="130" t="str">
        <f>$I$5</f>
        <v>近接</v>
      </c>
      <c r="G6" s="130" t="str">
        <f>IF($J$5 = 0,"", $J$5)</f>
        <v>武器</v>
      </c>
      <c r="H6" s="330" t="s">
        <v>66</v>
      </c>
      <c r="I6" s="332"/>
      <c r="J6" s="332"/>
      <c r="N6" s="330" t="s">
        <v>66</v>
      </c>
      <c r="O6" s="332"/>
      <c r="P6" s="332"/>
      <c r="Q6" s="79"/>
    </row>
    <row r="7" spans="1:19">
      <c r="A7" s="69" t="s">
        <v>6</v>
      </c>
      <c r="B7" s="480" t="s">
        <v>91</v>
      </c>
      <c r="C7" s="481"/>
      <c r="D7" s="482"/>
      <c r="E7" s="129" t="s">
        <v>66</v>
      </c>
      <c r="F7" s="130" t="str">
        <f>IF($I$6 = 0,"", $I$6)</f>
        <v/>
      </c>
      <c r="G7" s="130" t="str">
        <f>IF($J$6 = 0,"", $J$6)</f>
        <v/>
      </c>
      <c r="H7" s="330" t="s">
        <v>85</v>
      </c>
      <c r="I7" s="332" t="s">
        <v>116</v>
      </c>
      <c r="J7" s="84" t="s">
        <v>62</v>
      </c>
      <c r="L7" s="176" t="s">
        <v>318</v>
      </c>
      <c r="N7" s="330" t="s">
        <v>85</v>
      </c>
      <c r="O7" s="332" t="s">
        <v>525</v>
      </c>
      <c r="P7" s="84" t="s">
        <v>62</v>
      </c>
      <c r="Q7" s="79"/>
      <c r="R7" s="176" t="s">
        <v>318</v>
      </c>
    </row>
    <row r="8" spans="1:19">
      <c r="A8" s="69" t="s">
        <v>61</v>
      </c>
      <c r="B8" s="480" t="s">
        <v>242</v>
      </c>
      <c r="C8" s="481"/>
      <c r="D8" s="481"/>
      <c r="E8" s="481"/>
      <c r="F8" s="481"/>
      <c r="G8" s="482"/>
      <c r="H8" s="330" t="s">
        <v>51</v>
      </c>
      <c r="I8" s="332" t="s">
        <v>12</v>
      </c>
      <c r="J8" s="331">
        <f>IF($I$8 = "筋力",基本!$C$5,IF($I$8 = "耐久力",基本!$C$6,IF($I$8 = "敏捷力",基本!$C$7,IF($I$8 = "知力",基本!$C$8,IF($I$8 = "判断力",基本!$C$9,IF($I$8 = "魅力",基本!$C$10,""))))))</f>
        <v>6</v>
      </c>
      <c r="K8" s="332" t="s">
        <v>672</v>
      </c>
      <c r="L8" s="177">
        <f>$J$8+$L$9+$I$9</f>
        <v>22</v>
      </c>
      <c r="N8" s="330" t="s">
        <v>51</v>
      </c>
      <c r="O8" s="332" t="s">
        <v>12</v>
      </c>
      <c r="P8" s="331">
        <f>IF(O8="",0,VLOOKUP(O8,基本!$A$5:'基本'!$C$10,3,FALSE))</f>
        <v>6</v>
      </c>
      <c r="Q8" s="332" t="s">
        <v>673</v>
      </c>
      <c r="R8" s="177">
        <f>$P$8+$O$9+$R$9</f>
        <v>22</v>
      </c>
    </row>
    <row r="9" spans="1:19" ht="14.25" customHeight="1">
      <c r="A9" s="69" t="s">
        <v>8</v>
      </c>
      <c r="B9" s="480" t="s">
        <v>280</v>
      </c>
      <c r="C9" s="481"/>
      <c r="D9" s="481"/>
      <c r="E9" s="481"/>
      <c r="F9" s="481"/>
      <c r="G9" s="482"/>
      <c r="H9" s="330" t="s">
        <v>58</v>
      </c>
      <c r="I9" s="332">
        <v>0</v>
      </c>
      <c r="J9" s="394" t="s">
        <v>53</v>
      </c>
      <c r="K9" s="396"/>
      <c r="L9" s="331">
        <f>IF($I$7=基本!$F$4,基本!$P$7,IF($I$7=基本!$F$13,基本!$P$16,IF($I$7=基本!$F$22,基本!$P$25,IF($I$7=基本!$F$31,基本!$P$34,IF($I$7=基本!$F$40,基本!$P$43,0)))))</f>
        <v>16</v>
      </c>
      <c r="N9" s="330" t="s">
        <v>58</v>
      </c>
      <c r="O9" s="332">
        <v>0</v>
      </c>
      <c r="P9" s="394" t="s">
        <v>53</v>
      </c>
      <c r="Q9" s="396"/>
      <c r="R9" s="331">
        <f>IF($O$7=基本!$F$4,基本!$P$7,IF($O$7=基本!$F$13,基本!$P$16,IF($O$7=基本!$F$22,基本!$P$25,IF($O$7=基本!$F$31,基本!$P$34,IF($O$7=基本!$F$40,基本!$P$43,0)))))</f>
        <v>16</v>
      </c>
    </row>
    <row r="10" spans="1:19" ht="14.25" customHeight="1">
      <c r="A10" s="70" t="s">
        <v>9</v>
      </c>
      <c r="B10" s="474" t="s">
        <v>281</v>
      </c>
      <c r="C10" s="475"/>
      <c r="D10" s="475"/>
      <c r="E10" s="475"/>
      <c r="F10" s="475"/>
      <c r="G10" s="476"/>
      <c r="H10" s="328" t="s">
        <v>52</v>
      </c>
      <c r="I10" s="332" t="s">
        <v>12</v>
      </c>
      <c r="J10" s="88">
        <f>IF(I10 = "筋力",基本!$C$5,IF(I10 = "耐久力",基本!$C$6,IF(I10 = "敏捷力",基本!$C$7,IF(I10 = "知力",基本!$C$8,IF(I10 = "判断力",基本!$C$9,IF(I10 = "魅力",基本!$C$10,""))))))</f>
        <v>6</v>
      </c>
      <c r="K10" s="332" t="s">
        <v>16</v>
      </c>
      <c r="L10" s="88">
        <f>IF(K10 = "筋力",基本!$C$5,IF(K10 = "耐久力",基本!$C$6,IF(K10 = "敏捷力",基本!$C$7,IF(K10 = "知力",基本!$C$8,IF(K10 = "判断力",基本!$C$9,IF(K10 = "魅力",基本!$C$10,""))))))</f>
        <v>6</v>
      </c>
      <c r="N10" s="328" t="s">
        <v>52</v>
      </c>
      <c r="O10" s="332" t="s">
        <v>12</v>
      </c>
      <c r="P10" s="88">
        <f>IF(O10 = "筋力",基本!$C$5,IF(O10 = "耐久力",基本!$C$6,IF(O10 = "敏捷力",基本!$C$7,IF(O10 = "知力",基本!$C$8,IF(O10 = "判断力",基本!$C$9,IF(O10 = "魅力",基本!$C$10,""))))))</f>
        <v>6</v>
      </c>
      <c r="Q10" s="332" t="s">
        <v>16</v>
      </c>
      <c r="R10" s="88">
        <f>IF(Q10 = "筋力",基本!$C$5,IF(Q10 = "耐久力",基本!$C$6,IF(Q10 = "敏捷力",基本!$C$7,IF(Q10 = "知力",基本!$C$8,IF(Q10 = "判断力",基本!$C$9,IF(Q10 = "魅力",基本!$C$10,""))))))</f>
        <v>6</v>
      </c>
    </row>
    <row r="11" spans="1:19" ht="14.25" customHeight="1">
      <c r="A11" s="71"/>
      <c r="B11" s="505" t="s">
        <v>161</v>
      </c>
      <c r="C11" s="506"/>
      <c r="D11" s="506"/>
      <c r="E11" s="506"/>
      <c r="F11" s="506"/>
      <c r="G11" s="507"/>
      <c r="H11" s="330" t="s">
        <v>59</v>
      </c>
      <c r="I11" s="332">
        <v>0</v>
      </c>
      <c r="J11" s="394" t="s">
        <v>54</v>
      </c>
      <c r="K11" s="396"/>
      <c r="L11" s="331">
        <f>IF($I$7=基本!$F$4,基本!$P$9,IF($I$7=基本!$F$13,基本!$P$18,IF($I$7=基本!$F$22,基本!$P$27,IF($I$7=基本!$F$31,基本!$P$36,IF($I$7=基本!$F$40,基本!$P$45,0)))))</f>
        <v>6</v>
      </c>
      <c r="N11" s="330" t="s">
        <v>59</v>
      </c>
      <c r="O11" s="332">
        <v>0</v>
      </c>
      <c r="P11" s="394" t="s">
        <v>643</v>
      </c>
      <c r="Q11" s="396"/>
      <c r="R11" s="331">
        <f>IF($O$7=基本!$F$4,基本!$P$9,IF($O$7=基本!$F$13,基本!$P$18,IF($O$7=基本!$F$22,基本!$P$27,IF($O$7=基本!$F$31,基本!$P$36,IF($O$7=基本!$F$40,基本!$P$45,0)))))</f>
        <v>6</v>
      </c>
    </row>
    <row r="12" spans="1:19" ht="24">
      <c r="A12" s="71"/>
      <c r="B12" s="554" t="s">
        <v>689</v>
      </c>
      <c r="C12" s="555"/>
      <c r="D12" s="555"/>
      <c r="E12" s="555"/>
      <c r="F12" s="555"/>
      <c r="G12" s="556"/>
      <c r="H12" s="329" t="s">
        <v>319</v>
      </c>
      <c r="I12" s="332">
        <v>2</v>
      </c>
      <c r="J12" s="120"/>
      <c r="K12" s="120"/>
      <c r="L12" s="176" t="s">
        <v>318</v>
      </c>
      <c r="M12" s="334" t="s">
        <v>60</v>
      </c>
      <c r="N12" s="329" t="s">
        <v>319</v>
      </c>
      <c r="O12" s="332">
        <v>2</v>
      </c>
      <c r="R12" s="176" t="s">
        <v>318</v>
      </c>
      <c r="S12" s="334" t="s">
        <v>60</v>
      </c>
    </row>
    <row r="13" spans="1:19" ht="7.5" customHeight="1">
      <c r="A13" s="71"/>
      <c r="B13" s="505"/>
      <c r="C13" s="506"/>
      <c r="D13" s="506"/>
      <c r="E13" s="506"/>
      <c r="F13" s="506"/>
      <c r="G13" s="507"/>
      <c r="H13" s="329" t="s">
        <v>86</v>
      </c>
      <c r="I13" s="32">
        <f>IF($I$7=基本!$F$4,基本!$F$9,IF($I$7=基本!$F$13,基本!$F$18,IF($I$7=基本!$F$22,基本!$F$27,IF($I$7=基本!$F$31,基本!$F$36,IF($I$7=基本!$F$40,基本!$F$45,0)))))*$I$12</f>
        <v>2</v>
      </c>
      <c r="J13" s="330" t="s">
        <v>44</v>
      </c>
      <c r="K13" s="32">
        <f>IF($I$7=基本!$F$4,基本!$H$9,IF($I$7=基本!$F$13,基本!$H$18,IF($I$7=基本!$F$22,基本!$H$27,IF($I$7=基本!$F$31,基本!$H$36,IF($I$7=基本!$F$40,基本!$H$45,0)))))</f>
        <v>10</v>
      </c>
      <c r="L13" s="177">
        <f>$J$10+$L$11+$I$11</f>
        <v>12</v>
      </c>
      <c r="M13" s="332"/>
      <c r="N13" s="329" t="s">
        <v>644</v>
      </c>
      <c r="O13" s="42">
        <f>IF($O$7=基本!$F$4,基本!$F$9,IF($O$7=基本!$F$13,基本!$F$18,IF($O$7=基本!$F$22,基本!$F$27,IF($O$7=基本!$F$31,基本!$F$36,IF($O$7=基本!$F$40,基本!$F$45,0)))))*$O$12</f>
        <v>2</v>
      </c>
      <c r="P13" s="330" t="s">
        <v>645</v>
      </c>
      <c r="Q13" s="42">
        <f>IF($O$7=基本!$F$4,基本!$H$9,IF($O$7=基本!$F$13,基本!$H$18,IF($O$7=基本!$F$22,基本!$H$27,IF($O$7=基本!$F$31,基本!$H$36,IF($O$7=基本!$F$40,基本!$H$45,0)))))</f>
        <v>6</v>
      </c>
      <c r="R13" s="177">
        <f>$P$10+$O$11+$R$11</f>
        <v>12</v>
      </c>
      <c r="S13" s="332"/>
    </row>
    <row r="14" spans="1:19">
      <c r="A14" s="70" t="s">
        <v>157</v>
      </c>
      <c r="B14" s="593" t="s">
        <v>162</v>
      </c>
      <c r="C14" s="475"/>
      <c r="D14" s="475"/>
      <c r="E14" s="475"/>
      <c r="F14" s="475"/>
      <c r="G14" s="476"/>
      <c r="H14" s="330" t="s">
        <v>50</v>
      </c>
      <c r="I14" s="32">
        <f>IF($I$7=基本!$F$4,基本!$L$11,IF($I$7=基本!$F$13,基本!$L$20,IF($I$7=基本!$F$22,基本!$L$29,IF($I$7=基本!$F$31,基本!$L$38,IF($I$7=基本!$F$40,基本!$L$47,0)))))</f>
        <v>4</v>
      </c>
      <c r="J14" s="330" t="s">
        <v>44</v>
      </c>
      <c r="K14" s="32">
        <f>IF($I$7=基本!$F$4,基本!$N$11,IF($I$7=基本!$F$13,基本!$N$20,IF($I$7=基本!$F$22,基本!$N$29,IF($I$7=基本!$F$31,基本!$N$38,IF($I$7=基本!$F$40,基本!$N$47,0)))))</f>
        <v>8</v>
      </c>
      <c r="L14" s="177">
        <f>$J$10+$L$11+$I$11+($I$13*$K$13)</f>
        <v>32</v>
      </c>
      <c r="M14" s="332"/>
      <c r="N14" s="330" t="s">
        <v>50</v>
      </c>
      <c r="O14" s="42">
        <f>IF($O$7=基本!$F$4,基本!$L$11,IF($O$7=基本!$F$13,基本!$L$20,IF($O$7=基本!$F$22,基本!$L$29,IF($O$7=基本!$F$31,基本!$L$38,IF($O$7=基本!$F$40,基本!$L$47,0)))))</f>
        <v>4</v>
      </c>
      <c r="P14" s="330" t="s">
        <v>645</v>
      </c>
      <c r="Q14" s="42">
        <f>IF($O$7=基本!$F$4,基本!$N$11,IF($O$7=基本!$F$13,基本!$N$20,IF($O$7=基本!$F$22,基本!$N$29,IF($O$7=基本!$F$31,基本!$N$38,IF($O$7=基本!$F$40,基本!$N$47,0)))))</f>
        <v>6</v>
      </c>
      <c r="R14" s="177">
        <f>$P$10+$R$11+$O$11+($O$13*$Q$13)</f>
        <v>24</v>
      </c>
      <c r="S14" s="332"/>
    </row>
    <row r="15" spans="1:19" ht="13.5" customHeight="1">
      <c r="A15" s="71"/>
      <c r="B15" s="505" t="s">
        <v>163</v>
      </c>
      <c r="C15" s="506"/>
      <c r="D15" s="506"/>
      <c r="E15" s="506"/>
      <c r="F15" s="506"/>
      <c r="G15" s="507"/>
      <c r="H15" s="120"/>
      <c r="I15" s="120"/>
      <c r="J15" s="120"/>
      <c r="K15" s="120"/>
    </row>
    <row r="16" spans="1:19" ht="8.25" customHeight="1">
      <c r="A16" s="72"/>
      <c r="B16" s="452"/>
      <c r="C16" s="453"/>
      <c r="D16" s="453"/>
      <c r="E16" s="453"/>
      <c r="F16" s="453"/>
      <c r="G16" s="454"/>
      <c r="H16" s="120"/>
      <c r="I16" s="120"/>
      <c r="J16" s="120"/>
      <c r="K16" s="120"/>
    </row>
    <row r="17" spans="1:11" ht="14.25" thickBot="1">
      <c r="A17" s="113" t="s">
        <v>47</v>
      </c>
      <c r="E17" s="80"/>
      <c r="H17" s="120"/>
      <c r="I17" s="120"/>
      <c r="J17" s="120"/>
      <c r="K17" s="120"/>
    </row>
    <row r="18" spans="1:11" ht="15" customHeight="1">
      <c r="A18" s="587" t="str">
        <f>$B$2</f>
        <v>サンダー・ステップ</v>
      </c>
      <c r="B18" s="588"/>
      <c r="C18" s="589"/>
      <c r="D18" s="550" t="s">
        <v>2</v>
      </c>
      <c r="E18" s="551"/>
      <c r="F18" s="552" t="s">
        <v>525</v>
      </c>
      <c r="G18" s="553"/>
      <c r="H18" s="120"/>
      <c r="I18" s="120"/>
      <c r="J18" s="120"/>
      <c r="K18" s="120"/>
    </row>
    <row r="19" spans="1:11" ht="18.75" customHeight="1" thickBot="1">
      <c r="A19" s="590"/>
      <c r="B19" s="591"/>
      <c r="C19" s="592"/>
      <c r="D19" s="190" t="s">
        <v>2</v>
      </c>
      <c r="E19" s="191" t="s">
        <v>1</v>
      </c>
      <c r="F19" s="190" t="s">
        <v>2</v>
      </c>
      <c r="G19" s="343" t="s">
        <v>1</v>
      </c>
      <c r="H19" s="120"/>
      <c r="I19" s="120"/>
      <c r="J19" s="120"/>
      <c r="K19" s="120"/>
    </row>
    <row r="20" spans="1:11" ht="21" customHeight="1">
      <c r="A20" s="540" t="s">
        <v>42</v>
      </c>
      <c r="B20" s="186" t="s">
        <v>117</v>
      </c>
      <c r="C20" s="542" t="str">
        <f>$K$8</f>
        <v>反応</v>
      </c>
      <c r="D20" s="185" t="str">
        <f>$L$8 &amp; "+1d20"</f>
        <v>22+1d20</v>
      </c>
      <c r="E20" s="198" t="str">
        <f>$L$8+2 &amp; "+1d20"</f>
        <v>24+1d20</v>
      </c>
      <c r="F20" s="185" t="str">
        <f>$R$8 &amp; "+1d20"</f>
        <v>22+1d20</v>
      </c>
      <c r="G20" s="344" t="str">
        <f>$R$8+2 &amp; "+1d20"</f>
        <v>24+1d20</v>
      </c>
      <c r="H20" s="120"/>
      <c r="I20" s="120"/>
      <c r="J20" s="120"/>
      <c r="K20" s="120"/>
    </row>
    <row r="21" spans="1:11" ht="24" customHeight="1" thickBot="1">
      <c r="A21" s="541"/>
      <c r="B21" s="345" t="s">
        <v>668</v>
      </c>
      <c r="C21" s="543"/>
      <c r="D21" s="199" t="str">
        <f>3+$L$8 &amp; "+1d20"</f>
        <v>25+1d20</v>
      </c>
      <c r="E21" s="346" t="str">
        <f>3+$L$8+2 &amp; "+1d20"</f>
        <v>27+1d20</v>
      </c>
      <c r="F21" s="199" t="str">
        <f>3+$R$8 &amp; "+1d20"</f>
        <v>25+1d20</v>
      </c>
      <c r="G21" s="200" t="str">
        <f>3+$R$8+2 &amp; "+1d20"</f>
        <v>27+1d20</v>
      </c>
      <c r="H21" s="120"/>
      <c r="I21" s="120"/>
      <c r="J21" s="120"/>
      <c r="K21" s="120"/>
    </row>
    <row r="22" spans="1:11" ht="23.25" customHeight="1">
      <c r="A22" s="470" t="s">
        <v>360</v>
      </c>
      <c r="B22" s="137" t="s">
        <v>361</v>
      </c>
      <c r="C22" s="335" t="str">
        <f>IF($M$13 = 0,"", $M$13)</f>
        <v/>
      </c>
      <c r="D22" s="56" t="str">
        <f>-2+$L$13 &amp; "+" &amp; $I$13 &amp; "d" &amp; $K$13</f>
        <v>10+2d10</v>
      </c>
      <c r="E22" s="56" t="str">
        <f>-2+$L$13 &amp; "+" &amp; $I$13 &amp; "d" &amp; $K$13</f>
        <v>10+2d10</v>
      </c>
      <c r="F22" s="56" t="str">
        <f>-2+$R$13 &amp; "+" &amp; $O$13 &amp; "d" &amp; $Q$13</f>
        <v>10+2d6</v>
      </c>
      <c r="G22" s="57" t="str">
        <f>-2+$R$13 &amp; "+" &amp; $O$13 &amp; "d" &amp; $Q$13</f>
        <v>10+2d6</v>
      </c>
      <c r="H22" s="120"/>
      <c r="I22" s="120"/>
      <c r="J22" s="120"/>
      <c r="K22" s="120"/>
    </row>
    <row r="23" spans="1:11" ht="23.25" customHeight="1" thickBot="1">
      <c r="A23" s="471"/>
      <c r="B23" s="148" t="s">
        <v>362</v>
      </c>
      <c r="C23" s="347" t="str">
        <f>IF($M$14 = 0,"", $M$14)</f>
        <v/>
      </c>
      <c r="D23" s="150" t="str">
        <f>-2+$L$14 &amp; IF($I$14 =0,"","＆別の敵へ" &amp; $I$14 &amp; "d" &amp; $K$14)</f>
        <v>30＆別の敵へ4d8</v>
      </c>
      <c r="E23" s="150" t="str">
        <f t="shared" ref="E23" si="0">-2+$L$14 &amp; IF($I$14 =0,"","＆別の敵へ" &amp; $I$14 &amp; "d" &amp; $K$14)</f>
        <v>30＆別の敵へ4d8</v>
      </c>
      <c r="F23" s="150" t="str">
        <f>-2+$R$14 &amp; IF($O$14 = 0,"","+" &amp; $O$14 &amp; "d" &amp; $Q$14)</f>
        <v>22+4d6</v>
      </c>
      <c r="G23" s="305" t="str">
        <f>-2+$R$14 &amp; IF($O$14 = 0,"","+" &amp; $O$14 &amp; "d" &amp; $Q$14)</f>
        <v>22+4d6</v>
      </c>
      <c r="H23" s="120"/>
      <c r="I23" s="120"/>
      <c r="J23" s="120"/>
      <c r="K23" s="120"/>
    </row>
    <row r="24" spans="1:11" ht="23.25" customHeight="1">
      <c r="A24" s="455" t="s">
        <v>136</v>
      </c>
      <c r="B24" s="137" t="s">
        <v>361</v>
      </c>
      <c r="C24" s="335" t="str">
        <f>IF($M$13 = 0,"", $M$13)</f>
        <v/>
      </c>
      <c r="D24" s="56" t="str">
        <f>$L$13 &amp; "+" &amp; $I$13 &amp; "d" &amp; $K$13</f>
        <v>12+2d10</v>
      </c>
      <c r="E24" s="56" t="str">
        <f>$L$13 &amp; "+" &amp; $I$13 &amp; "d" &amp; $K$13</f>
        <v>12+2d10</v>
      </c>
      <c r="F24" s="56" t="str">
        <f>$R$13 &amp; "+" &amp; $O$13 &amp; "d" &amp; $Q$13</f>
        <v>12+2d6</v>
      </c>
      <c r="G24" s="57" t="str">
        <f>$R$13 &amp; "+" &amp; $O$13 &amp; "d" &amp; $Q$13</f>
        <v>12+2d6</v>
      </c>
      <c r="H24" s="120"/>
      <c r="I24" s="120"/>
      <c r="J24" s="120"/>
      <c r="K24" s="120"/>
    </row>
    <row r="25" spans="1:11" ht="23.25" customHeight="1" thickBot="1">
      <c r="A25" s="557"/>
      <c r="B25" s="148" t="s">
        <v>362</v>
      </c>
      <c r="C25" s="347" t="str">
        <f>IF($M$14 = 0,"", $M$14)</f>
        <v/>
      </c>
      <c r="D25" s="333" t="str">
        <f>$L$14 &amp; IF($I$14 =0,"","＆別の敵へ" &amp; $I$14 &amp; "d" &amp; $K$14)</f>
        <v>32＆別の敵へ4d8</v>
      </c>
      <c r="E25" s="333" t="str">
        <f t="shared" ref="E25" si="1">$L$14 &amp; IF($I$14 =0,"","＆別の敵へ" &amp; $I$14 &amp; "d" &amp; $K$14)</f>
        <v>32＆別の敵へ4d8</v>
      </c>
      <c r="F25" s="333" t="str">
        <f>$R$14 &amp; IF($O$14 = 0,"","+" &amp; $O$14 &amp; "d" &amp; $Q$14)</f>
        <v>24+4d6</v>
      </c>
      <c r="G25" s="305" t="str">
        <f>$R$14 &amp; IF($O$14 = 0,"","+" &amp; $O$14 &amp; "d" &amp; $Q$14)</f>
        <v>24+4d6</v>
      </c>
      <c r="H25" s="120"/>
      <c r="I25" s="120"/>
      <c r="J25" s="120"/>
      <c r="K25" s="120"/>
    </row>
    <row r="26" spans="1:11" ht="6.75" customHeight="1">
      <c r="A26" s="457"/>
      <c r="B26" s="457"/>
      <c r="C26" s="457"/>
      <c r="D26" s="457"/>
      <c r="E26" s="457"/>
      <c r="F26" s="457"/>
      <c r="G26" s="457"/>
    </row>
    <row r="27" spans="1:11" ht="15" customHeight="1">
      <c r="A27" s="457" t="s">
        <v>676</v>
      </c>
      <c r="B27" s="457"/>
      <c r="C27" s="457"/>
      <c r="D27" s="457"/>
      <c r="E27" s="457"/>
      <c r="F27" s="457"/>
      <c r="G27" s="457"/>
      <c r="H27" s="120"/>
      <c r="I27" s="120"/>
      <c r="J27" s="120"/>
      <c r="K27" s="120"/>
    </row>
    <row r="28" spans="1:11" ht="13.5" customHeight="1">
      <c r="A28" s="458" t="s">
        <v>677</v>
      </c>
      <c r="B28" s="458"/>
      <c r="C28" s="458"/>
      <c r="D28" s="458"/>
      <c r="E28" s="458"/>
      <c r="F28" s="458"/>
      <c r="G28" s="458"/>
    </row>
    <row r="29" spans="1:11" ht="13.5" customHeight="1">
      <c r="A29" s="473" t="s">
        <v>686</v>
      </c>
      <c r="B29" s="458"/>
      <c r="C29" s="458"/>
      <c r="D29" s="458"/>
      <c r="E29" s="458"/>
      <c r="F29" s="458"/>
      <c r="G29" s="458"/>
    </row>
    <row r="30" spans="1:11" ht="13.5" customHeight="1">
      <c r="A30" s="473" t="s">
        <v>685</v>
      </c>
      <c r="B30" s="458"/>
      <c r="C30" s="458"/>
      <c r="D30" s="458"/>
      <c r="E30" s="458"/>
      <c r="F30" s="458"/>
      <c r="G30" s="458"/>
    </row>
    <row r="31" spans="1:11" ht="15" customHeight="1">
      <c r="A31" s="457" t="s">
        <v>322</v>
      </c>
      <c r="B31" s="457"/>
      <c r="C31" s="457"/>
      <c r="D31" s="457"/>
      <c r="E31" s="457"/>
      <c r="F31" s="457"/>
      <c r="G31" s="457"/>
      <c r="I31" s="120"/>
      <c r="J31" s="120"/>
      <c r="K31" s="120"/>
    </row>
    <row r="32" spans="1:11" ht="13.5" customHeight="1">
      <c r="A32" s="490" t="s">
        <v>359</v>
      </c>
      <c r="B32" s="490"/>
      <c r="C32" s="490"/>
      <c r="D32" s="490"/>
      <c r="E32" s="490"/>
      <c r="F32" s="490"/>
      <c r="G32" s="490"/>
    </row>
    <row r="33" spans="1:12" ht="13.5" customHeight="1">
      <c r="A33" s="458" t="s">
        <v>323</v>
      </c>
      <c r="B33" s="458"/>
      <c r="C33" s="458"/>
      <c r="D33" s="458"/>
      <c r="E33" s="458"/>
      <c r="F33" s="458"/>
      <c r="G33" s="458"/>
    </row>
    <row r="34" spans="1:12" ht="8.25" customHeight="1">
      <c r="A34" s="453"/>
      <c r="B34" s="453"/>
      <c r="C34" s="453"/>
      <c r="D34" s="453"/>
      <c r="E34" s="453"/>
      <c r="F34" s="453"/>
      <c r="G34" s="453"/>
    </row>
    <row r="35" spans="1:12">
      <c r="A35" s="531" t="s">
        <v>49</v>
      </c>
      <c r="B35" s="532"/>
      <c r="C35" s="532"/>
      <c r="D35" s="532"/>
      <c r="E35" s="532"/>
      <c r="F35" s="532"/>
      <c r="G35" s="533"/>
    </row>
    <row r="36" spans="1:12" s="79" customFormat="1" ht="5.25" customHeight="1">
      <c r="A36" s="529"/>
      <c r="B36" s="457"/>
      <c r="C36" s="457"/>
      <c r="D36" s="457"/>
      <c r="E36" s="457"/>
      <c r="F36" s="457"/>
      <c r="G36" s="530"/>
      <c r="L36" s="120"/>
    </row>
    <row r="37" spans="1:12" s="79" customFormat="1" ht="15.75" customHeight="1">
      <c r="A37" s="477" t="s">
        <v>234</v>
      </c>
      <c r="B37" s="478"/>
      <c r="C37" s="478"/>
      <c r="D37" s="478"/>
      <c r="E37" s="478"/>
      <c r="F37" s="478"/>
      <c r="G37" s="479"/>
      <c r="L37" s="120"/>
    </row>
    <row r="38" spans="1:12" s="79" customFormat="1" ht="13.5" customHeight="1">
      <c r="A38" s="526"/>
      <c r="B38" s="527"/>
      <c r="C38" s="527"/>
      <c r="D38" s="527"/>
      <c r="E38" s="527"/>
      <c r="F38" s="527"/>
      <c r="G38" s="528"/>
      <c r="L38" s="120"/>
    </row>
    <row r="39" spans="1:12" s="79" customFormat="1" ht="13.5" customHeight="1">
      <c r="A39" s="505" t="s">
        <v>390</v>
      </c>
      <c r="B39" s="506"/>
      <c r="C39" s="506"/>
      <c r="D39" s="506"/>
      <c r="E39" s="506"/>
      <c r="F39" s="506"/>
      <c r="G39" s="507"/>
      <c r="L39" s="120"/>
    </row>
    <row r="40" spans="1:12" s="79" customFormat="1" ht="13.5" customHeight="1">
      <c r="A40" s="523" t="s">
        <v>597</v>
      </c>
      <c r="B40" s="524"/>
      <c r="C40" s="524"/>
      <c r="D40" s="524"/>
      <c r="E40" s="524"/>
      <c r="F40" s="524"/>
      <c r="G40" s="525"/>
      <c r="L40" s="120"/>
    </row>
    <row r="41" spans="1:12" s="79" customFormat="1" ht="13.5" customHeight="1">
      <c r="A41" s="523" t="s">
        <v>243</v>
      </c>
      <c r="B41" s="524"/>
      <c r="C41" s="524"/>
      <c r="D41" s="524"/>
      <c r="E41" s="524"/>
      <c r="F41" s="524"/>
      <c r="G41" s="525"/>
      <c r="L41" s="120"/>
    </row>
    <row r="42" spans="1:12" s="79" customFormat="1" ht="13.5" customHeight="1">
      <c r="A42" s="523" t="s">
        <v>282</v>
      </c>
      <c r="B42" s="524"/>
      <c r="C42" s="524"/>
      <c r="D42" s="524"/>
      <c r="E42" s="524"/>
      <c r="F42" s="524"/>
      <c r="G42" s="525"/>
      <c r="L42" s="120"/>
    </row>
    <row r="43" spans="1:12" s="79" customFormat="1" ht="13.5" customHeight="1">
      <c r="A43" s="523" t="s">
        <v>287</v>
      </c>
      <c r="B43" s="524"/>
      <c r="C43" s="524"/>
      <c r="D43" s="524"/>
      <c r="E43" s="524"/>
      <c r="F43" s="524"/>
      <c r="G43" s="525"/>
      <c r="L43" s="120"/>
    </row>
    <row r="44" spans="1:12" s="79" customFormat="1" ht="13.5" customHeight="1">
      <c r="A44" s="523" t="s">
        <v>699</v>
      </c>
      <c r="B44" s="524"/>
      <c r="C44" s="524"/>
      <c r="D44" s="524"/>
      <c r="E44" s="524"/>
      <c r="F44" s="524"/>
      <c r="G44" s="525"/>
      <c r="L44" s="348"/>
    </row>
    <row r="45" spans="1:12" s="79" customFormat="1" ht="13.5" customHeight="1">
      <c r="A45" s="523" t="s">
        <v>702</v>
      </c>
      <c r="B45" s="524"/>
      <c r="C45" s="524"/>
      <c r="D45" s="524"/>
      <c r="E45" s="524"/>
      <c r="F45" s="524"/>
      <c r="G45" s="525"/>
      <c r="L45" s="120"/>
    </row>
    <row r="46" spans="1:12" s="79" customFormat="1" ht="13.5" customHeight="1">
      <c r="A46" s="526"/>
      <c r="B46" s="527"/>
      <c r="C46" s="527"/>
      <c r="D46" s="527"/>
      <c r="E46" s="527"/>
      <c r="F46" s="527"/>
      <c r="G46" s="528"/>
      <c r="L46" s="120"/>
    </row>
    <row r="47" spans="1:12" s="79" customFormat="1" ht="13.5" customHeight="1">
      <c r="A47" s="523" t="s">
        <v>694</v>
      </c>
      <c r="B47" s="524"/>
      <c r="C47" s="524"/>
      <c r="D47" s="524"/>
      <c r="E47" s="524"/>
      <c r="F47" s="524"/>
      <c r="G47" s="525"/>
      <c r="L47" s="120"/>
    </row>
    <row r="48" spans="1:12" s="79" customFormat="1" ht="13.5" customHeight="1">
      <c r="A48" s="523" t="s">
        <v>700</v>
      </c>
      <c r="B48" s="524"/>
      <c r="C48" s="524"/>
      <c r="D48" s="524"/>
      <c r="E48" s="524"/>
      <c r="F48" s="524"/>
      <c r="G48" s="525"/>
      <c r="L48" s="120"/>
    </row>
    <row r="49" spans="1:12" s="79" customFormat="1" ht="13.5" customHeight="1">
      <c r="A49" s="523" t="s">
        <v>695</v>
      </c>
      <c r="B49" s="524"/>
      <c r="C49" s="524"/>
      <c r="D49" s="524"/>
      <c r="E49" s="524"/>
      <c r="F49" s="524"/>
      <c r="G49" s="525"/>
      <c r="L49" s="120"/>
    </row>
    <row r="50" spans="1:12" s="79" customFormat="1" ht="13.5" customHeight="1">
      <c r="A50" s="523" t="s">
        <v>701</v>
      </c>
      <c r="B50" s="524"/>
      <c r="C50" s="524"/>
      <c r="D50" s="524"/>
      <c r="E50" s="524"/>
      <c r="F50" s="524"/>
      <c r="G50" s="525"/>
      <c r="L50" s="120"/>
    </row>
    <row r="51" spans="1:12" s="79" customFormat="1" ht="13.5" customHeight="1">
      <c r="A51" s="523" t="s">
        <v>696</v>
      </c>
      <c r="B51" s="524"/>
      <c r="C51" s="524"/>
      <c r="D51" s="524"/>
      <c r="E51" s="524"/>
      <c r="F51" s="524"/>
      <c r="G51" s="525"/>
      <c r="L51" s="120"/>
    </row>
    <row r="52" spans="1:12" s="79" customFormat="1" ht="13.5" customHeight="1">
      <c r="A52" s="523" t="s">
        <v>697</v>
      </c>
      <c r="B52" s="524"/>
      <c r="C52" s="524"/>
      <c r="D52" s="524"/>
      <c r="E52" s="524"/>
      <c r="F52" s="524"/>
      <c r="G52" s="525"/>
      <c r="L52" s="120"/>
    </row>
    <row r="53" spans="1:12" s="79" customFormat="1" ht="13.5" customHeight="1">
      <c r="A53" s="523" t="s">
        <v>698</v>
      </c>
      <c r="B53" s="524"/>
      <c r="C53" s="524"/>
      <c r="D53" s="524"/>
      <c r="E53" s="524"/>
      <c r="F53" s="524"/>
      <c r="G53" s="525"/>
      <c r="L53" s="120"/>
    </row>
    <row r="54" spans="1:12" s="79" customFormat="1" ht="13.5" customHeight="1">
      <c r="A54" s="597"/>
      <c r="B54" s="598"/>
      <c r="C54" s="598"/>
      <c r="D54" s="598"/>
      <c r="E54" s="598"/>
      <c r="F54" s="598"/>
      <c r="G54" s="599"/>
      <c r="L54" s="120"/>
    </row>
    <row r="55" spans="1:12" s="79" customFormat="1" ht="21">
      <c r="A55" s="108" t="s">
        <v>118</v>
      </c>
      <c r="B55" s="341">
        <f>$B$1</f>
        <v>5</v>
      </c>
      <c r="C55" s="110" t="s">
        <v>40</v>
      </c>
      <c r="D55" s="111" t="str">
        <f>$E$1</f>
        <v>一日毎</v>
      </c>
      <c r="E55" s="594" t="str">
        <f>$B$2</f>
        <v>サンダー・ステップ</v>
      </c>
      <c r="F55" s="595"/>
      <c r="G55" s="596"/>
      <c r="L55" s="120"/>
    </row>
  </sheetData>
  <mergeCells count="59">
    <mergeCell ref="A34:G34"/>
    <mergeCell ref="B1:C1"/>
    <mergeCell ref="F1:G1"/>
    <mergeCell ref="B2:G2"/>
    <mergeCell ref="B4:G4"/>
    <mergeCell ref="B5:G5"/>
    <mergeCell ref="B6:D6"/>
    <mergeCell ref="B7:D7"/>
    <mergeCell ref="B8:G8"/>
    <mergeCell ref="B9:G9"/>
    <mergeCell ref="B10:G10"/>
    <mergeCell ref="A27:G27"/>
    <mergeCell ref="A28:G28"/>
    <mergeCell ref="A29:G29"/>
    <mergeCell ref="A30:G30"/>
    <mergeCell ref="B11:G11"/>
    <mergeCell ref="A33:G33"/>
    <mergeCell ref="A31:G31"/>
    <mergeCell ref="B15:G15"/>
    <mergeCell ref="B16:G16"/>
    <mergeCell ref="A26:G26"/>
    <mergeCell ref="A24:A25"/>
    <mergeCell ref="A20:A21"/>
    <mergeCell ref="C20:C21"/>
    <mergeCell ref="A22:A23"/>
    <mergeCell ref="A32:G32"/>
    <mergeCell ref="A45:G45"/>
    <mergeCell ref="A40:G40"/>
    <mergeCell ref="A41:G41"/>
    <mergeCell ref="A35:G35"/>
    <mergeCell ref="A36:G36"/>
    <mergeCell ref="A37:G37"/>
    <mergeCell ref="A38:G38"/>
    <mergeCell ref="A39:G39"/>
    <mergeCell ref="A44:G44"/>
    <mergeCell ref="A42:G42"/>
    <mergeCell ref="A43:G43"/>
    <mergeCell ref="E55:G55"/>
    <mergeCell ref="A46:G46"/>
    <mergeCell ref="A51:G51"/>
    <mergeCell ref="A52:G52"/>
    <mergeCell ref="A53:G53"/>
    <mergeCell ref="A54:G54"/>
    <mergeCell ref="A48:G48"/>
    <mergeCell ref="A49:G49"/>
    <mergeCell ref="A50:G50"/>
    <mergeCell ref="A47:G47"/>
    <mergeCell ref="H4:M4"/>
    <mergeCell ref="N4:S4"/>
    <mergeCell ref="P9:Q9"/>
    <mergeCell ref="P11:Q11"/>
    <mergeCell ref="A18:C19"/>
    <mergeCell ref="D18:E18"/>
    <mergeCell ref="F18:G18"/>
    <mergeCell ref="J9:K9"/>
    <mergeCell ref="B12:G12"/>
    <mergeCell ref="J11:K11"/>
    <mergeCell ref="B13:G13"/>
    <mergeCell ref="B14:G14"/>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基本!$D$27:$D$31</xm:f>
          </x14:formula1>
          <xm:sqref>I7</xm:sqref>
        </x14:dataValidation>
        <x14:dataValidation type="list" allowBlank="1" showInputMessage="1" showErrorMessage="1">
          <x14:formula1>
            <xm:f>基本!$A$16:$A$19</xm:f>
          </x14:formula1>
          <xm:sqref>K8</xm:sqref>
        </x14:dataValidation>
        <x14:dataValidation type="list" allowBlank="1" showInputMessage="1" showErrorMessage="1">
          <x14:formula1>
            <xm:f>基本!$C$27:$C$37</xm:f>
          </x14:formula1>
          <xm:sqref>I15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S55"/>
  <sheetViews>
    <sheetView zoomScaleNormal="100" workbookViewId="0">
      <selection activeCell="B2" sqref="B2:G2"/>
    </sheetView>
  </sheetViews>
  <sheetFormatPr defaultRowHeight="13.5"/>
  <cols>
    <col min="1" max="1" width="7.875" style="120" customWidth="1"/>
    <col min="2" max="2" width="8.5" style="120" customWidth="1"/>
    <col min="3" max="3" width="6.625" style="120" customWidth="1"/>
    <col min="4" max="4" width="15.75" style="120" customWidth="1"/>
    <col min="5" max="6" width="15.75" style="79" customWidth="1"/>
    <col min="7" max="7" width="18.25" style="79" customWidth="1"/>
    <col min="8" max="8" width="17.375" style="79" customWidth="1"/>
    <col min="9" max="9" width="14.625" style="79" customWidth="1"/>
    <col min="10" max="10" width="8.375" style="79" customWidth="1"/>
    <col min="11" max="11" width="7.5" style="79" customWidth="1"/>
    <col min="12" max="12" width="7.875" style="120" customWidth="1"/>
    <col min="13" max="13" width="9.25" style="120" customWidth="1"/>
    <col min="14" max="14" width="12.375" style="120" customWidth="1"/>
    <col min="15" max="16384" width="9" style="120"/>
  </cols>
  <sheetData>
    <row r="1" spans="1:19" ht="21">
      <c r="A1" s="105" t="s">
        <v>32</v>
      </c>
      <c r="B1" s="600">
        <v>9</v>
      </c>
      <c r="C1" s="601"/>
      <c r="D1" s="106" t="s">
        <v>40</v>
      </c>
      <c r="E1" s="107" t="s">
        <v>122</v>
      </c>
      <c r="F1" s="602"/>
      <c r="G1" s="603"/>
      <c r="H1" s="84" t="s">
        <v>55</v>
      </c>
    </row>
    <row r="2" spans="1:19" ht="24.75" customHeight="1">
      <c r="A2" s="106" t="s">
        <v>0</v>
      </c>
      <c r="B2" s="604" t="s">
        <v>395</v>
      </c>
      <c r="C2" s="604"/>
      <c r="D2" s="604"/>
      <c r="E2" s="604"/>
      <c r="F2" s="604"/>
      <c r="G2" s="604"/>
      <c r="H2" s="84" t="s">
        <v>56</v>
      </c>
    </row>
    <row r="3" spans="1:19" ht="19.5" customHeight="1">
      <c r="A3" s="90" t="s">
        <v>48</v>
      </c>
      <c r="B3" s="79"/>
      <c r="C3" s="79"/>
      <c r="D3" s="79"/>
      <c r="I3" s="84"/>
    </row>
    <row r="4" spans="1:19">
      <c r="A4" s="67" t="s">
        <v>46</v>
      </c>
      <c r="B4" s="480" t="s">
        <v>329</v>
      </c>
      <c r="C4" s="481"/>
      <c r="D4" s="481"/>
      <c r="E4" s="481"/>
      <c r="F4" s="481"/>
      <c r="G4" s="482"/>
      <c r="H4" s="394" t="s">
        <v>646</v>
      </c>
      <c r="I4" s="395"/>
      <c r="J4" s="395"/>
      <c r="K4" s="395"/>
      <c r="L4" s="395"/>
      <c r="M4" s="396"/>
      <c r="N4" s="394" t="s">
        <v>646</v>
      </c>
      <c r="O4" s="395"/>
      <c r="P4" s="395"/>
      <c r="Q4" s="395"/>
      <c r="R4" s="395"/>
      <c r="S4" s="396"/>
    </row>
    <row r="5" spans="1:19">
      <c r="A5" s="68" t="s">
        <v>39</v>
      </c>
      <c r="B5" s="480" t="s">
        <v>330</v>
      </c>
      <c r="C5" s="481"/>
      <c r="D5" s="481"/>
      <c r="E5" s="481"/>
      <c r="F5" s="481"/>
      <c r="G5" s="482"/>
      <c r="H5" s="330" t="s">
        <v>43</v>
      </c>
      <c r="I5" s="332" t="s">
        <v>69</v>
      </c>
      <c r="J5" s="332" t="s">
        <v>100</v>
      </c>
      <c r="N5" s="330" t="s">
        <v>43</v>
      </c>
      <c r="O5" s="332" t="s">
        <v>71</v>
      </c>
      <c r="P5" s="332" t="s">
        <v>100</v>
      </c>
      <c r="Q5" s="79"/>
    </row>
    <row r="6" spans="1:19">
      <c r="A6" s="68" t="s">
        <v>7</v>
      </c>
      <c r="B6" s="480" t="s">
        <v>129</v>
      </c>
      <c r="C6" s="481"/>
      <c r="D6" s="482"/>
      <c r="E6" s="154" t="s">
        <v>43</v>
      </c>
      <c r="F6" s="153"/>
      <c r="G6" s="153"/>
      <c r="H6" s="330" t="s">
        <v>66</v>
      </c>
      <c r="I6" s="332"/>
      <c r="J6" s="332"/>
      <c r="N6" s="330" t="s">
        <v>66</v>
      </c>
      <c r="O6" s="332"/>
      <c r="P6" s="332"/>
      <c r="Q6" s="79"/>
    </row>
    <row r="7" spans="1:19">
      <c r="A7" s="112" t="s">
        <v>6</v>
      </c>
      <c r="B7" s="480"/>
      <c r="C7" s="481"/>
      <c r="D7" s="482"/>
      <c r="E7" s="154" t="s">
        <v>66</v>
      </c>
      <c r="F7" s="153"/>
      <c r="G7" s="153"/>
      <c r="H7" s="330" t="s">
        <v>85</v>
      </c>
      <c r="I7" s="332" t="s">
        <v>116</v>
      </c>
      <c r="J7" s="84" t="s">
        <v>62</v>
      </c>
      <c r="L7" s="176" t="s">
        <v>318</v>
      </c>
      <c r="N7" s="330" t="s">
        <v>85</v>
      </c>
      <c r="O7" s="332" t="s">
        <v>525</v>
      </c>
      <c r="P7" s="84" t="s">
        <v>62</v>
      </c>
      <c r="Q7" s="79"/>
      <c r="R7" s="176" t="s">
        <v>318</v>
      </c>
    </row>
    <row r="8" spans="1:19">
      <c r="A8" s="139" t="s">
        <v>61</v>
      </c>
      <c r="B8" s="567" t="s">
        <v>268</v>
      </c>
      <c r="C8" s="568"/>
      <c r="D8" s="568"/>
      <c r="E8" s="568"/>
      <c r="F8" s="568"/>
      <c r="G8" s="569"/>
      <c r="H8" s="330" t="s">
        <v>51</v>
      </c>
      <c r="I8" s="332" t="s">
        <v>12</v>
      </c>
      <c r="J8" s="331">
        <f>IF($I$8 = "筋力",基本!$C$5,IF($I$8 = "耐久力",基本!$C$6,IF($I$8 = "敏捷力",基本!$C$7,IF($I$8 = "知力",基本!$C$8,IF($I$8 = "判断力",基本!$C$9,IF($I$8 = "魅力",基本!$C$10,""))))))</f>
        <v>6</v>
      </c>
      <c r="K8" s="332" t="s">
        <v>90</v>
      </c>
      <c r="L8" s="177">
        <f>$J$8+$L$9+$I$9</f>
        <v>22</v>
      </c>
      <c r="N8" s="330" t="s">
        <v>51</v>
      </c>
      <c r="O8" s="332" t="s">
        <v>12</v>
      </c>
      <c r="P8" s="331">
        <f>IF(O8="",0,VLOOKUP(O8,基本!$A$5:'基本'!$C$10,3,FALSE))</f>
        <v>6</v>
      </c>
      <c r="Q8" s="332" t="s">
        <v>90</v>
      </c>
      <c r="R8" s="177">
        <f>$P$8+$O$9+$R$9</f>
        <v>22</v>
      </c>
    </row>
    <row r="9" spans="1:19">
      <c r="A9" s="71" t="s">
        <v>9</v>
      </c>
      <c r="B9" s="505" t="s">
        <v>269</v>
      </c>
      <c r="C9" s="506"/>
      <c r="D9" s="506"/>
      <c r="E9" s="506"/>
      <c r="F9" s="506"/>
      <c r="G9" s="507"/>
      <c r="H9" s="330" t="s">
        <v>58</v>
      </c>
      <c r="I9" s="332">
        <v>0</v>
      </c>
      <c r="J9" s="394" t="s">
        <v>53</v>
      </c>
      <c r="K9" s="396"/>
      <c r="L9" s="331">
        <f>IF($I$7=基本!$F$4,基本!$P$7,IF($I$7=基本!$F$13,基本!$P$16,IF($I$7=基本!$F$22,基本!$P$25,IF($I$7=基本!$F$31,基本!$P$34,IF($I$7=基本!$F$40,基本!$P$43,0)))))</f>
        <v>16</v>
      </c>
      <c r="N9" s="330" t="s">
        <v>58</v>
      </c>
      <c r="O9" s="332">
        <v>0</v>
      </c>
      <c r="P9" s="394" t="s">
        <v>53</v>
      </c>
      <c r="Q9" s="396"/>
      <c r="R9" s="331">
        <f>IF($O$7=基本!$F$4,基本!$P$7,IF($O$7=基本!$F$13,基本!$P$16,IF($O$7=基本!$F$22,基本!$P$25,IF($O$7=基本!$F$31,基本!$P$34,IF($O$7=基本!$F$40,基本!$P$43,0)))))</f>
        <v>16</v>
      </c>
    </row>
    <row r="10" spans="1:19">
      <c r="A10" s="71"/>
      <c r="B10" s="505" t="s">
        <v>513</v>
      </c>
      <c r="C10" s="506"/>
      <c r="D10" s="506"/>
      <c r="E10" s="506"/>
      <c r="F10" s="506"/>
      <c r="G10" s="507"/>
      <c r="H10" s="328" t="s">
        <v>52</v>
      </c>
      <c r="I10" s="332" t="s">
        <v>12</v>
      </c>
      <c r="J10" s="88">
        <f>IF(I10 = "筋力",基本!$C$5,IF(I10 = "耐久力",基本!$C$6,IF(I10 = "敏捷力",基本!$C$7,IF(I10 = "知力",基本!$C$8,IF(I10 = "判断力",基本!$C$9,IF(I10 = "魅力",基本!$C$10,""))))))</f>
        <v>6</v>
      </c>
      <c r="K10" s="338" t="s">
        <v>12</v>
      </c>
      <c r="L10" s="88">
        <f>IF(K10 = "筋力",基本!$C$5,IF(K10 = "耐久力",基本!$C$6,IF(K10 = "敏捷力",基本!$C$7,IF(K10 = "知力",基本!$C$8,IF(K10 = "判断力",基本!$C$9,IF(K10 = "魅力",基本!$C$10,""))))))</f>
        <v>6</v>
      </c>
      <c r="N10" s="328" t="s">
        <v>52</v>
      </c>
      <c r="O10" s="332" t="s">
        <v>12</v>
      </c>
      <c r="P10" s="88">
        <f>IF(O10 = "筋力",基本!$C$5,IF(O10 = "耐久力",基本!$C$6,IF(O10 = "敏捷力",基本!$C$7,IF(O10 = "知力",基本!$C$8,IF(O10 = "判断力",基本!$C$9,IF(O10 = "魅力",基本!$C$10,""))))))</f>
        <v>6</v>
      </c>
      <c r="Q10" s="332" t="s">
        <v>16</v>
      </c>
      <c r="R10" s="88">
        <f>IF(Q10 = "筋力",基本!$C$5,IF(Q10 = "耐久力",基本!$C$6,IF(Q10 = "敏捷力",基本!$C$7,IF(Q10 = "知力",基本!$C$8,IF(Q10 = "判断力",基本!$C$9,IF(Q10 = "魅力",基本!$C$10,""))))))</f>
        <v>6</v>
      </c>
    </row>
    <row r="11" spans="1:19">
      <c r="A11" s="71"/>
      <c r="B11" s="505" t="s">
        <v>270</v>
      </c>
      <c r="C11" s="506"/>
      <c r="D11" s="506"/>
      <c r="E11" s="506"/>
      <c r="F11" s="506"/>
      <c r="G11" s="507"/>
      <c r="H11" s="330" t="s">
        <v>59</v>
      </c>
      <c r="I11" s="332">
        <v>0</v>
      </c>
      <c r="J11" s="394" t="s">
        <v>54</v>
      </c>
      <c r="K11" s="396"/>
      <c r="L11" s="331">
        <f>IF($I$7=基本!$F$4,基本!$P$9,IF($I$7=基本!$F$13,基本!$P$18,IF($I$7=基本!$F$22,基本!$P$27,IF($I$7=基本!$F$31,基本!$P$36,IF($I$7=基本!$F$40,基本!$P$45,0)))))</f>
        <v>6</v>
      </c>
      <c r="N11" s="330" t="s">
        <v>59</v>
      </c>
      <c r="O11" s="332">
        <v>0</v>
      </c>
      <c r="P11" s="394" t="s">
        <v>643</v>
      </c>
      <c r="Q11" s="396"/>
      <c r="R11" s="331">
        <f>IF($O$7=基本!$F$4,基本!$P$9,IF($O$7=基本!$F$13,基本!$P$18,IF($O$7=基本!$F$22,基本!$P$27,IF($O$7=基本!$F$31,基本!$P$36,IF($O$7=基本!$F$40,基本!$P$45,0)))))</f>
        <v>6</v>
      </c>
    </row>
    <row r="12" spans="1:19" ht="17.25">
      <c r="A12" s="71"/>
      <c r="B12" s="537" t="str">
        <f>"　　　　使用者に近接攻撃をヒットさせた敵 "&amp;$L$10&amp;" ダメージ"</f>
        <v>　　　　使用者に近接攻撃をヒットさせた敵 6 ダメージ</v>
      </c>
      <c r="C12" s="538"/>
      <c r="D12" s="538"/>
      <c r="E12" s="538"/>
      <c r="F12" s="538"/>
      <c r="G12" s="539"/>
      <c r="H12" s="329" t="s">
        <v>319</v>
      </c>
      <c r="I12" s="332">
        <v>2</v>
      </c>
      <c r="J12" s="120"/>
      <c r="K12" s="120"/>
      <c r="L12" s="176" t="s">
        <v>318</v>
      </c>
      <c r="M12" s="334" t="s">
        <v>60</v>
      </c>
      <c r="N12" s="329" t="s">
        <v>319</v>
      </c>
      <c r="O12" s="332">
        <v>2</v>
      </c>
      <c r="R12" s="176" t="s">
        <v>318</v>
      </c>
      <c r="S12" s="334" t="s">
        <v>60</v>
      </c>
    </row>
    <row r="13" spans="1:19" ht="7.5" customHeight="1">
      <c r="A13" s="71"/>
      <c r="B13" s="505"/>
      <c r="C13" s="506"/>
      <c r="D13" s="506"/>
      <c r="E13" s="506"/>
      <c r="F13" s="506"/>
      <c r="G13" s="507"/>
      <c r="H13" s="329" t="s">
        <v>86</v>
      </c>
      <c r="I13" s="32">
        <f>IF($I$7=基本!$F$4,基本!$F$9,IF($I$7=基本!$F$13,基本!$F$18,IF($I$7=基本!$F$22,基本!$F$27,IF($I$7=基本!$F$31,基本!$F$36,IF($I$7=基本!$F$40,基本!$F$45,0)))))*$I$12</f>
        <v>2</v>
      </c>
      <c r="J13" s="330" t="s">
        <v>44</v>
      </c>
      <c r="K13" s="32">
        <f>IF($I$7=基本!$F$4,基本!$H$9,IF($I$7=基本!$F$13,基本!$H$18,IF($I$7=基本!$F$22,基本!$H$27,IF($I$7=基本!$F$31,基本!$H$36,IF($I$7=基本!$F$40,基本!$H$45,0)))))</f>
        <v>10</v>
      </c>
      <c r="L13" s="177">
        <f>$J$10+$L$11+$I$11</f>
        <v>12</v>
      </c>
      <c r="M13" s="332"/>
      <c r="N13" s="329" t="s">
        <v>644</v>
      </c>
      <c r="O13" s="42">
        <f>IF($O$7=基本!$F$4,基本!$F$9,IF($O$7=基本!$F$13,基本!$F$18,IF($O$7=基本!$F$22,基本!$F$27,IF($O$7=基本!$F$31,基本!$F$36,IF($O$7=基本!$F$40,基本!$F$45,0)))))*$O$12</f>
        <v>2</v>
      </c>
      <c r="P13" s="330" t="s">
        <v>645</v>
      </c>
      <c r="Q13" s="42">
        <f>IF($O$7=基本!$F$4,基本!$H$9,IF($O$7=基本!$F$13,基本!$H$18,IF($O$7=基本!$F$22,基本!$H$27,IF($O$7=基本!$F$31,基本!$H$36,IF($O$7=基本!$F$40,基本!$H$45,0)))))</f>
        <v>6</v>
      </c>
      <c r="R13" s="177">
        <f>$P$10+$O$11+$R$11</f>
        <v>12</v>
      </c>
      <c r="S13" s="332"/>
    </row>
    <row r="14" spans="1:19" ht="13.5" customHeight="1">
      <c r="A14" s="71"/>
      <c r="B14" s="505" t="s">
        <v>159</v>
      </c>
      <c r="C14" s="506"/>
      <c r="D14" s="506"/>
      <c r="E14" s="506"/>
      <c r="F14" s="506"/>
      <c r="G14" s="507"/>
      <c r="H14" s="330" t="s">
        <v>50</v>
      </c>
      <c r="I14" s="32">
        <f>IF($I$7=基本!$F$4,基本!$L$11,IF($I$7=基本!$F$13,基本!$L$20,IF($I$7=基本!$F$22,基本!$L$29,IF($I$7=基本!$F$31,基本!$L$38,IF($I$7=基本!$F$40,基本!$L$47,0)))))</f>
        <v>4</v>
      </c>
      <c r="J14" s="330" t="s">
        <v>44</v>
      </c>
      <c r="K14" s="32">
        <f>IF($I$7=基本!$F$4,基本!$N$11,IF($I$7=基本!$F$13,基本!$N$20,IF($I$7=基本!$F$22,基本!$N$29,IF($I$7=基本!$F$31,基本!$N$38,IF($I$7=基本!$F$40,基本!$N$47,0)))))</f>
        <v>8</v>
      </c>
      <c r="L14" s="177">
        <f>$J$10+$L$11+$I$11+($I$13*$K$13)</f>
        <v>32</v>
      </c>
      <c r="M14" s="332"/>
      <c r="N14" s="330" t="s">
        <v>50</v>
      </c>
      <c r="O14" s="42">
        <f>IF($O$7=基本!$F$4,基本!$L$11,IF($O$7=基本!$F$13,基本!$L$20,IF($O$7=基本!$F$22,基本!$L$29,IF($O$7=基本!$F$31,基本!$L$38,IF($O$7=基本!$F$40,基本!$L$47,0)))))</f>
        <v>4</v>
      </c>
      <c r="P14" s="330" t="s">
        <v>645</v>
      </c>
      <c r="Q14" s="42">
        <f>IF($O$7=基本!$F$4,基本!$N$11,IF($O$7=基本!$F$13,基本!$N$20,IF($O$7=基本!$F$22,基本!$N$29,IF($O$7=基本!$F$31,基本!$N$38,IF($O$7=基本!$F$40,基本!$N$47,0)))))</f>
        <v>6</v>
      </c>
      <c r="R14" s="177">
        <f>$P$10+$R$11+$O$11+($O$13*$Q$13)</f>
        <v>24</v>
      </c>
      <c r="S14" s="332"/>
    </row>
    <row r="15" spans="1:19" ht="7.5" customHeight="1">
      <c r="A15" s="71"/>
      <c r="B15" s="505"/>
      <c r="C15" s="506"/>
      <c r="D15" s="506"/>
      <c r="E15" s="506"/>
      <c r="F15" s="506"/>
      <c r="G15" s="507"/>
      <c r="H15" s="120"/>
      <c r="I15" s="120"/>
      <c r="J15" s="120"/>
      <c r="K15" s="120"/>
    </row>
    <row r="16" spans="1:19" ht="13.5" customHeight="1">
      <c r="A16" s="68" t="s">
        <v>7</v>
      </c>
      <c r="B16" s="605" t="s">
        <v>132</v>
      </c>
      <c r="C16" s="606"/>
      <c r="D16" s="607"/>
      <c r="E16" s="154" t="s">
        <v>43</v>
      </c>
      <c r="F16" s="336" t="str">
        <f>$I$5</f>
        <v>近接</v>
      </c>
      <c r="G16" s="336" t="str">
        <f>IF($J$5 = 0,"", $J$5)</f>
        <v>武器</v>
      </c>
      <c r="H16" s="120"/>
      <c r="I16" s="120"/>
      <c r="J16" s="120"/>
      <c r="K16" s="120"/>
    </row>
    <row r="17" spans="1:11" ht="13.5" customHeight="1">
      <c r="A17" s="140" t="s">
        <v>328</v>
      </c>
      <c r="B17" s="505" t="s">
        <v>391</v>
      </c>
      <c r="C17" s="506"/>
      <c r="D17" s="506"/>
      <c r="E17" s="506"/>
      <c r="F17" s="506"/>
      <c r="G17" s="507"/>
      <c r="H17" s="120"/>
      <c r="I17" s="120"/>
      <c r="J17" s="120"/>
      <c r="K17" s="120"/>
    </row>
    <row r="18" spans="1:11" ht="13.5" customHeight="1">
      <c r="A18" s="112" t="s">
        <v>6</v>
      </c>
      <c r="B18" s="534" t="s">
        <v>171</v>
      </c>
      <c r="C18" s="535"/>
      <c r="D18" s="535"/>
      <c r="E18" s="535"/>
      <c r="F18" s="535"/>
      <c r="G18" s="536"/>
      <c r="H18" s="120"/>
      <c r="I18" s="120"/>
      <c r="J18" s="120"/>
      <c r="K18" s="120"/>
    </row>
    <row r="19" spans="1:11" ht="13.5" customHeight="1">
      <c r="A19" s="69" t="s">
        <v>8</v>
      </c>
      <c r="B19" s="480" t="s">
        <v>275</v>
      </c>
      <c r="C19" s="481"/>
      <c r="D19" s="481"/>
      <c r="E19" s="481"/>
      <c r="F19" s="481"/>
      <c r="G19" s="482"/>
    </row>
    <row r="20" spans="1:11" ht="13.5" customHeight="1">
      <c r="A20" s="70" t="s">
        <v>9</v>
      </c>
      <c r="B20" s="474" t="s">
        <v>331</v>
      </c>
      <c r="C20" s="475"/>
      <c r="D20" s="475"/>
      <c r="E20" s="475"/>
      <c r="F20" s="475"/>
      <c r="G20" s="476"/>
    </row>
    <row r="21" spans="1:11" ht="13.5" customHeight="1">
      <c r="A21" s="70" t="s">
        <v>157</v>
      </c>
      <c r="B21" s="608" t="s">
        <v>158</v>
      </c>
      <c r="C21" s="475"/>
      <c r="D21" s="475"/>
      <c r="E21" s="475"/>
      <c r="F21" s="475"/>
      <c r="G21" s="476"/>
    </row>
    <row r="22" spans="1:11" ht="13.5" customHeight="1">
      <c r="A22" s="70" t="s">
        <v>332</v>
      </c>
      <c r="B22" s="474" t="s">
        <v>333</v>
      </c>
      <c r="C22" s="475"/>
      <c r="D22" s="475"/>
      <c r="E22" s="475"/>
      <c r="F22" s="475"/>
      <c r="G22" s="476"/>
    </row>
    <row r="23" spans="1:11" ht="13.5" customHeight="1">
      <c r="A23" s="72"/>
      <c r="B23" s="578" t="s">
        <v>334</v>
      </c>
      <c r="C23" s="503"/>
      <c r="D23" s="503"/>
      <c r="E23" s="503"/>
      <c r="F23" s="503"/>
      <c r="G23" s="504"/>
    </row>
    <row r="24" spans="1:11" ht="14.25" thickBot="1">
      <c r="A24" s="113" t="s">
        <v>47</v>
      </c>
      <c r="E24" s="80"/>
    </row>
    <row r="25" spans="1:11" ht="15" customHeight="1">
      <c r="A25" s="587" t="str">
        <f>$B$2</f>
        <v>フォーム・オヴ・ジ・オーク・センティネル</v>
      </c>
      <c r="B25" s="588"/>
      <c r="C25" s="589"/>
      <c r="D25" s="550" t="s">
        <v>2</v>
      </c>
      <c r="E25" s="551"/>
      <c r="F25" s="552" t="s">
        <v>525</v>
      </c>
      <c r="G25" s="553"/>
      <c r="H25" s="120"/>
      <c r="I25" s="120"/>
      <c r="J25" s="120"/>
      <c r="K25" s="120"/>
    </row>
    <row r="26" spans="1:11" ht="18.75" customHeight="1" thickBot="1">
      <c r="A26" s="590"/>
      <c r="B26" s="591"/>
      <c r="C26" s="592"/>
      <c r="D26" s="190" t="s">
        <v>2</v>
      </c>
      <c r="E26" s="191" t="s">
        <v>1</v>
      </c>
      <c r="F26" s="190" t="s">
        <v>2</v>
      </c>
      <c r="G26" s="343" t="s">
        <v>1</v>
      </c>
      <c r="H26" s="120"/>
      <c r="I26" s="120"/>
      <c r="J26" s="120"/>
      <c r="K26" s="120"/>
    </row>
    <row r="27" spans="1:11" ht="21" customHeight="1">
      <c r="A27" s="540" t="s">
        <v>42</v>
      </c>
      <c r="B27" s="186" t="s">
        <v>117</v>
      </c>
      <c r="C27" s="542" t="str">
        <f>$K$8</f>
        <v>AC</v>
      </c>
      <c r="D27" s="185" t="str">
        <f>$L$8 &amp; "+1d20"</f>
        <v>22+1d20</v>
      </c>
      <c r="E27" s="198" t="str">
        <f>$L$8+2 &amp; "+1d20"</f>
        <v>24+1d20</v>
      </c>
      <c r="F27" s="185" t="str">
        <f>$R$8 &amp; "+1d20"</f>
        <v>22+1d20</v>
      </c>
      <c r="G27" s="344" t="str">
        <f>$R$8+2 &amp; "+1d20"</f>
        <v>24+1d20</v>
      </c>
      <c r="H27" s="120"/>
      <c r="I27" s="120"/>
      <c r="J27" s="120"/>
      <c r="K27" s="120"/>
    </row>
    <row r="28" spans="1:11" ht="24" customHeight="1" thickBot="1">
      <c r="A28" s="541"/>
      <c r="B28" s="345" t="s">
        <v>668</v>
      </c>
      <c r="C28" s="543"/>
      <c r="D28" s="199" t="str">
        <f>3+$L$8 &amp; "+1d20"</f>
        <v>25+1d20</v>
      </c>
      <c r="E28" s="346" t="str">
        <f>3+$L$8+2 &amp; "+1d20"</f>
        <v>27+1d20</v>
      </c>
      <c r="F28" s="199" t="str">
        <f>3+$R$8 &amp; "+1d20"</f>
        <v>25+1d20</v>
      </c>
      <c r="G28" s="200" t="str">
        <f>3+$R$8+2 &amp; "+1d20"</f>
        <v>27+1d20</v>
      </c>
      <c r="H28" s="120"/>
      <c r="I28" s="120"/>
      <c r="J28" s="120"/>
      <c r="K28" s="120"/>
    </row>
    <row r="29" spans="1:11" ht="23.25" customHeight="1">
      <c r="A29" s="470" t="s">
        <v>360</v>
      </c>
      <c r="B29" s="137" t="s">
        <v>361</v>
      </c>
      <c r="C29" s="335" t="str">
        <f>IF($M$13 = 0,"", $M$13)</f>
        <v/>
      </c>
      <c r="D29" s="56" t="str">
        <f>-2+$L$13 &amp; "+" &amp; $I$13 &amp; "d" &amp; $K$13</f>
        <v>10+2d10</v>
      </c>
      <c r="E29" s="56" t="str">
        <f>-2+$L$13 &amp; "+" &amp; $I$13 &amp; "d" &amp; $K$13</f>
        <v>10+2d10</v>
      </c>
      <c r="F29" s="56" t="str">
        <f>-2+$R$13 &amp; "+" &amp; $O$13 &amp; "d" &amp; $Q$13</f>
        <v>10+2d6</v>
      </c>
      <c r="G29" s="57" t="str">
        <f>-2+$R$13 &amp; "+" &amp; $O$13 &amp; "d" &amp; $Q$13</f>
        <v>10+2d6</v>
      </c>
      <c r="H29" s="120"/>
      <c r="I29" s="120"/>
      <c r="J29" s="120"/>
      <c r="K29" s="120"/>
    </row>
    <row r="30" spans="1:11" ht="23.25" customHeight="1" thickBot="1">
      <c r="A30" s="471"/>
      <c r="B30" s="148" t="s">
        <v>362</v>
      </c>
      <c r="C30" s="347" t="str">
        <f>IF($M$14 = 0,"", $M$14)</f>
        <v/>
      </c>
      <c r="D30" s="150" t="str">
        <f>-2+$L$14 &amp; IF($I$14 =0,"","＆別の敵へ" &amp; $I$14 &amp; "d" &amp; $K$14)</f>
        <v>30＆別の敵へ4d8</v>
      </c>
      <c r="E30" s="150" t="str">
        <f t="shared" ref="E30" si="0">-2+$L$14 &amp; IF($I$14 =0,"","＆別の敵へ" &amp; $I$14 &amp; "d" &amp; $K$14)</f>
        <v>30＆別の敵へ4d8</v>
      </c>
      <c r="F30" s="150" t="str">
        <f>-2+$R$14 &amp; IF($O$14 = 0,"","+" &amp; $O$14 &amp; "d" &amp; $Q$14)</f>
        <v>22+4d6</v>
      </c>
      <c r="G30" s="305" t="str">
        <f>-2+$R$14 &amp; IF($O$14 = 0,"","+" &amp; $O$14 &amp; "d" &amp; $Q$14)</f>
        <v>22+4d6</v>
      </c>
      <c r="H30" s="120"/>
      <c r="I30" s="120"/>
      <c r="J30" s="120"/>
      <c r="K30" s="120"/>
    </row>
    <row r="31" spans="1:11" ht="23.25" customHeight="1">
      <c r="A31" s="455" t="s">
        <v>136</v>
      </c>
      <c r="B31" s="137" t="s">
        <v>361</v>
      </c>
      <c r="C31" s="335" t="str">
        <f>IF($M$13 = 0,"", $M$13)</f>
        <v/>
      </c>
      <c r="D31" s="56" t="str">
        <f>$L$13 &amp; "+" &amp; $I$13 &amp; "d" &amp; $K$13</f>
        <v>12+2d10</v>
      </c>
      <c r="E31" s="56" t="str">
        <f>$L$13 &amp; "+" &amp; $I$13 &amp; "d" &amp; $K$13</f>
        <v>12+2d10</v>
      </c>
      <c r="F31" s="56" t="str">
        <f>$R$13 &amp; "+" &amp; $O$13 &amp; "d" &amp; $Q$13</f>
        <v>12+2d6</v>
      </c>
      <c r="G31" s="57" t="str">
        <f>$R$13 &amp; "+" &amp; $O$13 &amp; "d" &amp; $Q$13</f>
        <v>12+2d6</v>
      </c>
      <c r="H31" s="120"/>
      <c r="I31" s="120"/>
      <c r="J31" s="120"/>
      <c r="K31" s="120"/>
    </row>
    <row r="32" spans="1:11" ht="23.25" customHeight="1" thickBot="1">
      <c r="A32" s="557"/>
      <c r="B32" s="148" t="s">
        <v>362</v>
      </c>
      <c r="C32" s="347" t="str">
        <f>IF($M$14 = 0,"", $M$14)</f>
        <v/>
      </c>
      <c r="D32" s="333" t="str">
        <f>$L$14 &amp; IF($I$14 =0,"","＆別の敵へ" &amp; $I$14 &amp; "d" &amp; $K$14)</f>
        <v>32＆別の敵へ4d8</v>
      </c>
      <c r="E32" s="333" t="str">
        <f t="shared" ref="E32" si="1">$L$14 &amp; IF($I$14 =0,"","＆別の敵へ" &amp; $I$14 &amp; "d" &amp; $K$14)</f>
        <v>32＆別の敵へ4d8</v>
      </c>
      <c r="F32" s="333" t="str">
        <f>$R$14 &amp; IF($O$14 = 0,"","+" &amp; $O$14 &amp; "d" &amp; $Q$14)</f>
        <v>24+4d6</v>
      </c>
      <c r="G32" s="305" t="str">
        <f>$R$14 &amp; IF($O$14 = 0,"","+" &amp; $O$14 &amp; "d" &amp; $Q$14)</f>
        <v>24+4d6</v>
      </c>
      <c r="H32" s="120"/>
      <c r="I32" s="120"/>
      <c r="J32" s="120"/>
      <c r="K32" s="120"/>
    </row>
    <row r="33" spans="1:11" ht="8.25" customHeight="1">
      <c r="A33" s="472"/>
      <c r="B33" s="472"/>
      <c r="C33" s="472"/>
      <c r="D33" s="472"/>
      <c r="E33" s="472"/>
      <c r="F33" s="472"/>
      <c r="G33" s="472"/>
    </row>
    <row r="34" spans="1:11" ht="15.75" customHeight="1">
      <c r="A34" s="457" t="s">
        <v>676</v>
      </c>
      <c r="B34" s="457"/>
      <c r="C34" s="457"/>
      <c r="D34" s="457"/>
      <c r="E34" s="457"/>
      <c r="F34" s="457"/>
      <c r="G34" s="457"/>
      <c r="H34" s="120"/>
      <c r="I34" s="120"/>
      <c r="J34" s="120"/>
      <c r="K34" s="120"/>
    </row>
    <row r="35" spans="1:11" ht="13.5" customHeight="1">
      <c r="A35" s="458" t="s">
        <v>677</v>
      </c>
      <c r="B35" s="458"/>
      <c r="C35" s="458"/>
      <c r="D35" s="458"/>
      <c r="E35" s="458"/>
      <c r="F35" s="458"/>
      <c r="G35" s="458"/>
    </row>
    <row r="36" spans="1:11" ht="15.75" customHeight="1">
      <c r="A36" s="457" t="s">
        <v>325</v>
      </c>
      <c r="B36" s="457"/>
      <c r="C36" s="457"/>
      <c r="D36" s="457"/>
      <c r="E36" s="457"/>
      <c r="F36" s="457"/>
      <c r="G36" s="457"/>
      <c r="I36" s="120"/>
      <c r="J36" s="120"/>
      <c r="K36" s="120"/>
    </row>
    <row r="37" spans="1:11" ht="13.5" customHeight="1">
      <c r="A37" s="490" t="s">
        <v>326</v>
      </c>
      <c r="B37" s="490"/>
      <c r="C37" s="490"/>
      <c r="D37" s="490"/>
      <c r="E37" s="490"/>
      <c r="F37" s="490"/>
      <c r="G37" s="490"/>
    </row>
    <row r="38" spans="1:11" ht="13.5" customHeight="1">
      <c r="A38" s="458" t="s">
        <v>327</v>
      </c>
      <c r="B38" s="458"/>
      <c r="C38" s="458"/>
      <c r="D38" s="458"/>
      <c r="E38" s="458"/>
      <c r="F38" s="458"/>
      <c r="G38" s="458"/>
    </row>
    <row r="39" spans="1:11" ht="8.25" customHeight="1">
      <c r="A39" s="453"/>
      <c r="B39" s="453"/>
      <c r="C39" s="453"/>
      <c r="D39" s="453"/>
      <c r="E39" s="453"/>
      <c r="F39" s="453"/>
      <c r="G39" s="453"/>
    </row>
    <row r="40" spans="1:11" ht="13.5" customHeight="1">
      <c r="A40" s="531" t="s">
        <v>49</v>
      </c>
      <c r="B40" s="532"/>
      <c r="C40" s="532"/>
      <c r="D40" s="532"/>
      <c r="E40" s="532"/>
      <c r="F40" s="532"/>
      <c r="G40" s="533"/>
    </row>
    <row r="41" spans="1:11" s="100" customFormat="1" ht="9" customHeight="1">
      <c r="A41" s="505"/>
      <c r="B41" s="506"/>
      <c r="C41" s="506"/>
      <c r="D41" s="506"/>
      <c r="E41" s="506"/>
      <c r="F41" s="506"/>
      <c r="G41" s="507"/>
      <c r="H41" s="99"/>
      <c r="I41" s="99"/>
      <c r="J41" s="99"/>
      <c r="K41" s="99"/>
    </row>
    <row r="42" spans="1:11" s="100" customFormat="1" ht="13.5" customHeight="1">
      <c r="A42" s="505" t="s">
        <v>397</v>
      </c>
      <c r="B42" s="506"/>
      <c r="C42" s="506"/>
      <c r="D42" s="506"/>
      <c r="E42" s="506"/>
      <c r="F42" s="506"/>
      <c r="G42" s="507"/>
      <c r="H42" s="99"/>
      <c r="I42" s="99"/>
      <c r="J42" s="99"/>
      <c r="K42" s="99"/>
    </row>
    <row r="43" spans="1:11" s="100" customFormat="1" ht="13.5" customHeight="1">
      <c r="A43" s="505" t="s">
        <v>398</v>
      </c>
      <c r="B43" s="506"/>
      <c r="C43" s="506"/>
      <c r="D43" s="506"/>
      <c r="E43" s="506"/>
      <c r="F43" s="506"/>
      <c r="G43" s="507"/>
      <c r="H43" s="99"/>
      <c r="I43" s="99"/>
      <c r="J43" s="99"/>
      <c r="K43" s="99"/>
    </row>
    <row r="44" spans="1:11" s="100" customFormat="1" ht="13.5" customHeight="1">
      <c r="A44" s="505" t="s">
        <v>399</v>
      </c>
      <c r="B44" s="506"/>
      <c r="C44" s="506"/>
      <c r="D44" s="506"/>
      <c r="E44" s="506"/>
      <c r="F44" s="506"/>
      <c r="G44" s="507"/>
      <c r="H44" s="99"/>
      <c r="I44" s="99"/>
      <c r="J44" s="99"/>
      <c r="K44" s="99"/>
    </row>
    <row r="45" spans="1:11" s="100" customFormat="1" ht="13.5" customHeight="1">
      <c r="A45" s="505" t="s">
        <v>514</v>
      </c>
      <c r="B45" s="506"/>
      <c r="C45" s="506"/>
      <c r="D45" s="506"/>
      <c r="E45" s="506"/>
      <c r="F45" s="506"/>
      <c r="G45" s="507"/>
      <c r="H45" s="99"/>
      <c r="I45" s="99"/>
      <c r="J45" s="99"/>
      <c r="K45" s="99"/>
    </row>
    <row r="46" spans="1:11" s="100" customFormat="1" ht="13.5" customHeight="1">
      <c r="A46" s="505" t="s">
        <v>313</v>
      </c>
      <c r="B46" s="506"/>
      <c r="C46" s="506"/>
      <c r="D46" s="506"/>
      <c r="E46" s="506"/>
      <c r="F46" s="506"/>
      <c r="G46" s="507"/>
      <c r="H46" s="99"/>
      <c r="I46" s="99"/>
      <c r="J46" s="99"/>
      <c r="K46" s="99"/>
    </row>
    <row r="47" spans="1:11" s="100" customFormat="1" ht="13.5" customHeight="1">
      <c r="A47" s="505" t="s">
        <v>543</v>
      </c>
      <c r="B47" s="506"/>
      <c r="C47" s="506"/>
      <c r="D47" s="506"/>
      <c r="E47" s="506"/>
      <c r="F47" s="506"/>
      <c r="G47" s="507"/>
      <c r="H47" s="99"/>
      <c r="I47" s="99"/>
      <c r="J47" s="99"/>
      <c r="K47" s="99"/>
    </row>
    <row r="48" spans="1:11" s="100" customFormat="1" ht="13.5" customHeight="1">
      <c r="A48" s="505" t="s">
        <v>286</v>
      </c>
      <c r="B48" s="506"/>
      <c r="C48" s="506"/>
      <c r="D48" s="506"/>
      <c r="E48" s="506"/>
      <c r="F48" s="506"/>
      <c r="G48" s="507"/>
      <c r="H48" s="99"/>
      <c r="I48" s="99"/>
      <c r="J48" s="99"/>
      <c r="K48" s="99"/>
    </row>
    <row r="49" spans="1:12" s="100" customFormat="1" ht="13.5" customHeight="1">
      <c r="A49" s="505" t="s">
        <v>544</v>
      </c>
      <c r="B49" s="506"/>
      <c r="C49" s="506"/>
      <c r="D49" s="506"/>
      <c r="E49" s="506"/>
      <c r="F49" s="506"/>
      <c r="G49" s="507"/>
      <c r="H49" s="99"/>
      <c r="I49" s="99"/>
      <c r="J49" s="99"/>
      <c r="K49" s="99"/>
    </row>
    <row r="50" spans="1:12" s="100" customFormat="1" ht="13.5" customHeight="1">
      <c r="A50" s="505"/>
      <c r="B50" s="506"/>
      <c r="C50" s="506"/>
      <c r="D50" s="506"/>
      <c r="E50" s="506"/>
      <c r="F50" s="506"/>
      <c r="G50" s="507"/>
      <c r="H50" s="99"/>
      <c r="I50" s="99"/>
      <c r="J50" s="99"/>
      <c r="K50" s="99"/>
    </row>
    <row r="51" spans="1:12" s="100" customFormat="1" ht="13.5" customHeight="1">
      <c r="A51" s="505" t="s">
        <v>401</v>
      </c>
      <c r="B51" s="506"/>
      <c r="C51" s="506"/>
      <c r="D51" s="506"/>
      <c r="E51" s="506"/>
      <c r="F51" s="506"/>
      <c r="G51" s="507"/>
      <c r="H51" s="99"/>
      <c r="I51" s="99"/>
      <c r="J51" s="99"/>
      <c r="K51" s="99"/>
    </row>
    <row r="52" spans="1:12" s="100" customFormat="1" ht="13.5" customHeight="1">
      <c r="A52" s="505" t="s">
        <v>400</v>
      </c>
      <c r="B52" s="506"/>
      <c r="C52" s="506"/>
      <c r="D52" s="506"/>
      <c r="E52" s="506"/>
      <c r="F52" s="506"/>
      <c r="G52" s="507"/>
      <c r="H52" s="99"/>
      <c r="I52" s="99"/>
      <c r="J52" s="99"/>
      <c r="K52" s="99"/>
    </row>
    <row r="53" spans="1:12" s="100" customFormat="1" ht="13.5" customHeight="1">
      <c r="A53" s="505"/>
      <c r="B53" s="506"/>
      <c r="C53" s="506"/>
      <c r="D53" s="506"/>
      <c r="E53" s="506"/>
      <c r="F53" s="506"/>
      <c r="G53" s="507"/>
      <c r="H53" s="99"/>
      <c r="I53" s="99"/>
      <c r="J53" s="99"/>
      <c r="K53" s="99"/>
    </row>
    <row r="54" spans="1:12" s="99" customFormat="1" ht="9" customHeight="1">
      <c r="A54" s="578"/>
      <c r="B54" s="503"/>
      <c r="C54" s="503"/>
      <c r="D54" s="503"/>
      <c r="E54" s="503"/>
      <c r="F54" s="503"/>
      <c r="G54" s="504"/>
      <c r="L54" s="100"/>
    </row>
    <row r="55" spans="1:12" s="79" customFormat="1" ht="21">
      <c r="A55" s="108" t="s">
        <v>32</v>
      </c>
      <c r="B55" s="155">
        <f>$B$1</f>
        <v>9</v>
      </c>
      <c r="C55" s="110" t="s">
        <v>40</v>
      </c>
      <c r="D55" s="111" t="str">
        <f>$E$1</f>
        <v>一日毎</v>
      </c>
      <c r="E55" s="594" t="str">
        <f>$B$2</f>
        <v>フォーム・オヴ・ジ・オーク・センティネル</v>
      </c>
      <c r="F55" s="595"/>
      <c r="G55" s="596"/>
      <c r="L55" s="120"/>
    </row>
  </sheetData>
  <mergeCells count="59">
    <mergeCell ref="A54:G54"/>
    <mergeCell ref="E55:G55"/>
    <mergeCell ref="A37:G37"/>
    <mergeCell ref="A38:G38"/>
    <mergeCell ref="A33:G33"/>
    <mergeCell ref="A53:G53"/>
    <mergeCell ref="A39:G39"/>
    <mergeCell ref="A40:G40"/>
    <mergeCell ref="A34:G34"/>
    <mergeCell ref="A35:G35"/>
    <mergeCell ref="A41:G41"/>
    <mergeCell ref="A36:G36"/>
    <mergeCell ref="A42:G42"/>
    <mergeCell ref="A43:G43"/>
    <mergeCell ref="A44:G44"/>
    <mergeCell ref="A45:G45"/>
    <mergeCell ref="J11:K11"/>
    <mergeCell ref="B13:G13"/>
    <mergeCell ref="B14:G14"/>
    <mergeCell ref="B11:G11"/>
    <mergeCell ref="B22:G22"/>
    <mergeCell ref="B20:G20"/>
    <mergeCell ref="B21:G21"/>
    <mergeCell ref="B12:G12"/>
    <mergeCell ref="B23:G23"/>
    <mergeCell ref="B16:D16"/>
    <mergeCell ref="B15:G15"/>
    <mergeCell ref="B17:G17"/>
    <mergeCell ref="B18:G18"/>
    <mergeCell ref="B19:G19"/>
    <mergeCell ref="B10:G10"/>
    <mergeCell ref="B1:C1"/>
    <mergeCell ref="F1:G1"/>
    <mergeCell ref="B2:G2"/>
    <mergeCell ref="B4:G4"/>
    <mergeCell ref="B5:G5"/>
    <mergeCell ref="A46:G46"/>
    <mergeCell ref="A52:G52"/>
    <mergeCell ref="A47:G47"/>
    <mergeCell ref="A48:G48"/>
    <mergeCell ref="A49:G49"/>
    <mergeCell ref="A50:G50"/>
    <mergeCell ref="A51:G51"/>
    <mergeCell ref="A27:A28"/>
    <mergeCell ref="C27:C28"/>
    <mergeCell ref="A29:A30"/>
    <mergeCell ref="A31:A32"/>
    <mergeCell ref="N4:S4"/>
    <mergeCell ref="P9:Q9"/>
    <mergeCell ref="P11:Q11"/>
    <mergeCell ref="A25:C26"/>
    <mergeCell ref="D25:E25"/>
    <mergeCell ref="F25:G25"/>
    <mergeCell ref="B6:D6"/>
    <mergeCell ref="B7:D7"/>
    <mergeCell ref="B8:G8"/>
    <mergeCell ref="B9:G9"/>
    <mergeCell ref="J9:K9"/>
    <mergeCell ref="H4:M4"/>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基本!$D$27:$D$31</xm:f>
          </x14:formula1>
          <xm:sqref>I7</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基本!$A$16:$A$19</xm:f>
          </x14:formula1>
          <xm:sqref>K8</xm:sqref>
        </x14:dataValidation>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基本!$C$27:$C$37</xm:f>
          </x14:formula1>
          <xm:sqref>I15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S58"/>
  <sheetViews>
    <sheetView zoomScaleNormal="100" workbookViewId="0">
      <selection activeCell="B2" sqref="B2:G2"/>
    </sheetView>
  </sheetViews>
  <sheetFormatPr defaultRowHeight="13.5"/>
  <cols>
    <col min="1" max="1" width="7.875" style="103" customWidth="1"/>
    <col min="2" max="2" width="8.5" style="103" customWidth="1"/>
    <col min="3" max="3" width="6.625" style="103" customWidth="1"/>
    <col min="4" max="4" width="15.75" style="103" customWidth="1"/>
    <col min="5" max="6" width="15.75" style="79" customWidth="1"/>
    <col min="7" max="7" width="18.25" style="79" customWidth="1"/>
    <col min="8" max="8" width="17.375" style="79" customWidth="1"/>
    <col min="9" max="9" width="14.625" style="79" customWidth="1"/>
    <col min="10" max="10" width="8.375" style="79" customWidth="1"/>
    <col min="11" max="11" width="7.5" style="79" customWidth="1"/>
    <col min="12" max="12" width="7.875" style="103" customWidth="1"/>
    <col min="13" max="13" width="9.25" style="103" customWidth="1"/>
    <col min="14" max="14" width="12.375" style="103" customWidth="1"/>
    <col min="15" max="16384" width="9" style="103"/>
  </cols>
  <sheetData>
    <row r="1" spans="1:19" ht="21">
      <c r="A1" s="105" t="s">
        <v>121</v>
      </c>
      <c r="B1" s="600">
        <v>15</v>
      </c>
      <c r="C1" s="601"/>
      <c r="D1" s="106" t="s">
        <v>40</v>
      </c>
      <c r="E1" s="107" t="s">
        <v>122</v>
      </c>
      <c r="F1" s="602"/>
      <c r="G1" s="603"/>
      <c r="H1" s="84" t="s">
        <v>55</v>
      </c>
    </row>
    <row r="2" spans="1:19" ht="24.75" customHeight="1">
      <c r="A2" s="106" t="s">
        <v>0</v>
      </c>
      <c r="B2" s="604" t="s">
        <v>574</v>
      </c>
      <c r="C2" s="604"/>
      <c r="D2" s="604"/>
      <c r="E2" s="604"/>
      <c r="F2" s="604"/>
      <c r="G2" s="604"/>
      <c r="H2" s="84" t="s">
        <v>56</v>
      </c>
    </row>
    <row r="3" spans="1:19" ht="19.5" customHeight="1">
      <c r="A3" s="90" t="s">
        <v>48</v>
      </c>
      <c r="B3" s="79"/>
      <c r="C3" s="79"/>
      <c r="D3" s="79"/>
      <c r="I3" s="84"/>
    </row>
    <row r="4" spans="1:19">
      <c r="A4" s="67" t="s">
        <v>46</v>
      </c>
      <c r="B4" s="480" t="s">
        <v>575</v>
      </c>
      <c r="C4" s="481"/>
      <c r="D4" s="481"/>
      <c r="E4" s="481"/>
      <c r="F4" s="481"/>
      <c r="G4" s="482"/>
      <c r="H4" s="394" t="s">
        <v>646</v>
      </c>
      <c r="I4" s="395"/>
      <c r="J4" s="395"/>
      <c r="K4" s="395"/>
      <c r="L4" s="395"/>
      <c r="M4" s="396"/>
      <c r="N4" s="394" t="s">
        <v>646</v>
      </c>
      <c r="O4" s="395"/>
      <c r="P4" s="395"/>
      <c r="Q4" s="395"/>
      <c r="R4" s="395"/>
      <c r="S4" s="396"/>
    </row>
    <row r="5" spans="1:19">
      <c r="A5" s="68" t="s">
        <v>123</v>
      </c>
      <c r="B5" s="480" t="s">
        <v>330</v>
      </c>
      <c r="C5" s="481"/>
      <c r="D5" s="481"/>
      <c r="E5" s="481"/>
      <c r="F5" s="481"/>
      <c r="G5" s="482"/>
      <c r="H5" s="330" t="s">
        <v>43</v>
      </c>
      <c r="I5" s="332" t="s">
        <v>69</v>
      </c>
      <c r="J5" s="332" t="s">
        <v>100</v>
      </c>
      <c r="L5" s="120"/>
      <c r="M5" s="120"/>
      <c r="N5" s="330" t="s">
        <v>43</v>
      </c>
      <c r="O5" s="332" t="s">
        <v>71</v>
      </c>
      <c r="P5" s="332" t="s">
        <v>100</v>
      </c>
      <c r="Q5" s="79"/>
      <c r="R5" s="120"/>
      <c r="S5" s="120"/>
    </row>
    <row r="6" spans="1:19">
      <c r="A6" s="68" t="s">
        <v>124</v>
      </c>
      <c r="B6" s="480" t="s">
        <v>129</v>
      </c>
      <c r="C6" s="481"/>
      <c r="D6" s="482"/>
      <c r="E6" s="101" t="s">
        <v>43</v>
      </c>
      <c r="F6" s="102"/>
      <c r="G6" s="102"/>
      <c r="H6" s="330" t="s">
        <v>66</v>
      </c>
      <c r="I6" s="332"/>
      <c r="J6" s="332"/>
      <c r="L6" s="120"/>
      <c r="M6" s="120"/>
      <c r="N6" s="330" t="s">
        <v>66</v>
      </c>
      <c r="O6" s="332"/>
      <c r="P6" s="332"/>
      <c r="Q6" s="79"/>
      <c r="R6" s="120"/>
      <c r="S6" s="120"/>
    </row>
    <row r="7" spans="1:19">
      <c r="A7" s="112" t="s">
        <v>6</v>
      </c>
      <c r="B7" s="480"/>
      <c r="C7" s="481"/>
      <c r="D7" s="482"/>
      <c r="E7" s="101" t="s">
        <v>66</v>
      </c>
      <c r="F7" s="102"/>
      <c r="G7" s="102"/>
      <c r="H7" s="330" t="s">
        <v>85</v>
      </c>
      <c r="I7" s="332" t="s">
        <v>116</v>
      </c>
      <c r="J7" s="84" t="s">
        <v>62</v>
      </c>
      <c r="L7" s="176" t="s">
        <v>318</v>
      </c>
      <c r="M7" s="120"/>
      <c r="N7" s="330" t="s">
        <v>85</v>
      </c>
      <c r="O7" s="332" t="s">
        <v>525</v>
      </c>
      <c r="P7" s="84" t="s">
        <v>62</v>
      </c>
      <c r="Q7" s="79"/>
      <c r="R7" s="176" t="s">
        <v>318</v>
      </c>
      <c r="S7" s="120"/>
    </row>
    <row r="8" spans="1:19">
      <c r="A8" s="139" t="s">
        <v>61</v>
      </c>
      <c r="B8" s="567" t="s">
        <v>576</v>
      </c>
      <c r="C8" s="568"/>
      <c r="D8" s="568"/>
      <c r="E8" s="568"/>
      <c r="F8" s="568"/>
      <c r="G8" s="569"/>
      <c r="H8" s="330" t="s">
        <v>51</v>
      </c>
      <c r="I8" s="332" t="s">
        <v>12</v>
      </c>
      <c r="J8" s="331">
        <f>IF($I$8 = "筋力",基本!$C$5,IF($I$8 = "耐久力",基本!$C$6,IF($I$8 = "敏捷力",基本!$C$7,IF($I$8 = "知力",基本!$C$8,IF($I$8 = "判断力",基本!$C$9,IF($I$8 = "魅力",基本!$C$10,""))))))</f>
        <v>6</v>
      </c>
      <c r="K8" s="332" t="s">
        <v>90</v>
      </c>
      <c r="L8" s="177">
        <f>$J$8+$L$9+$I$9</f>
        <v>22</v>
      </c>
      <c r="M8" s="120"/>
      <c r="N8" s="330" t="s">
        <v>51</v>
      </c>
      <c r="O8" s="332" t="s">
        <v>12</v>
      </c>
      <c r="P8" s="331">
        <f>IF(O8="",0,VLOOKUP(O8,基本!$A$5:'基本'!$C$10,3,FALSE))</f>
        <v>6</v>
      </c>
      <c r="Q8" s="332" t="s">
        <v>90</v>
      </c>
      <c r="R8" s="177">
        <f>$P$8+$O$9+$R$9</f>
        <v>22</v>
      </c>
      <c r="S8" s="120"/>
    </row>
    <row r="9" spans="1:19">
      <c r="A9" s="71" t="s">
        <v>125</v>
      </c>
      <c r="B9" s="505" t="s">
        <v>577</v>
      </c>
      <c r="C9" s="506"/>
      <c r="D9" s="506"/>
      <c r="E9" s="506"/>
      <c r="F9" s="506"/>
      <c r="G9" s="507"/>
      <c r="H9" s="330" t="s">
        <v>58</v>
      </c>
      <c r="I9" s="332">
        <v>0</v>
      </c>
      <c r="J9" s="394" t="s">
        <v>53</v>
      </c>
      <c r="K9" s="396"/>
      <c r="L9" s="331">
        <f>IF($I$7=基本!$F$4,基本!$P$7,IF($I$7=基本!$F$13,基本!$P$16,IF($I$7=基本!$F$22,基本!$P$25,IF($I$7=基本!$F$31,基本!$P$34,IF($I$7=基本!$F$40,基本!$P$43,0)))))</f>
        <v>16</v>
      </c>
      <c r="M9" s="120"/>
      <c r="N9" s="330" t="s">
        <v>58</v>
      </c>
      <c r="O9" s="332">
        <v>0</v>
      </c>
      <c r="P9" s="394" t="s">
        <v>53</v>
      </c>
      <c r="Q9" s="396"/>
      <c r="R9" s="331">
        <f>IF($O$7=基本!$F$4,基本!$P$7,IF($O$7=基本!$F$13,基本!$P$16,IF($O$7=基本!$F$22,基本!$P$25,IF($O$7=基本!$F$31,基本!$P$34,IF($O$7=基本!$F$40,基本!$P$43,0)))))</f>
        <v>16</v>
      </c>
      <c r="S9" s="120"/>
    </row>
    <row r="10" spans="1:19">
      <c r="A10" s="71"/>
      <c r="B10" s="505" t="s">
        <v>578</v>
      </c>
      <c r="C10" s="506"/>
      <c r="D10" s="506"/>
      <c r="E10" s="506"/>
      <c r="F10" s="506"/>
      <c r="G10" s="507"/>
      <c r="H10" s="328" t="s">
        <v>52</v>
      </c>
      <c r="I10" s="332" t="s">
        <v>12</v>
      </c>
      <c r="J10" s="88">
        <f>IF(I10 = "筋力",基本!$C$5,IF(I10 = "耐久力",基本!$C$6,IF(I10 = "敏捷力",基本!$C$7,IF(I10 = "知力",基本!$C$8,IF(I10 = "判断力",基本!$C$9,IF(I10 = "魅力",基本!$C$10,""))))))</f>
        <v>6</v>
      </c>
      <c r="K10" s="332" t="s">
        <v>16</v>
      </c>
      <c r="L10" s="88">
        <f>IF(K10 = "筋力",基本!$C$5,IF(K10 = "耐久力",基本!$C$6,IF(K10 = "敏捷力",基本!$C$7,IF(K10 = "知力",基本!$C$8,IF(K10 = "判断力",基本!$C$9,IF(K10 = "魅力",基本!$C$10,""))))))</f>
        <v>6</v>
      </c>
      <c r="M10" s="120"/>
      <c r="N10" s="328" t="s">
        <v>52</v>
      </c>
      <c r="O10" s="332" t="s">
        <v>12</v>
      </c>
      <c r="P10" s="88">
        <f>IF(O10 = "筋力",基本!$C$5,IF(O10 = "耐久力",基本!$C$6,IF(O10 = "敏捷力",基本!$C$7,IF(O10 = "知力",基本!$C$8,IF(O10 = "判断力",基本!$C$9,IF(O10 = "魅力",基本!$C$10,""))))))</f>
        <v>6</v>
      </c>
      <c r="Q10" s="332" t="s">
        <v>16</v>
      </c>
      <c r="R10" s="88">
        <f>IF(Q10 = "筋力",基本!$C$5,IF(Q10 = "耐久力",基本!$C$6,IF(Q10 = "敏捷力",基本!$C$7,IF(Q10 = "知力",基本!$C$8,IF(Q10 = "判断力",基本!$C$9,IF(Q10 = "魅力",基本!$C$10,""))))))</f>
        <v>6</v>
      </c>
      <c r="S10" s="120"/>
    </row>
    <row r="11" spans="1:19">
      <c r="A11" s="71"/>
      <c r="B11" s="505" t="s">
        <v>579</v>
      </c>
      <c r="C11" s="506"/>
      <c r="D11" s="506"/>
      <c r="E11" s="506"/>
      <c r="F11" s="506"/>
      <c r="G11" s="507"/>
      <c r="H11" s="330" t="s">
        <v>59</v>
      </c>
      <c r="I11" s="332">
        <v>0</v>
      </c>
      <c r="J11" s="394" t="s">
        <v>54</v>
      </c>
      <c r="K11" s="396"/>
      <c r="L11" s="331">
        <f>IF($I$7=基本!$F$4,基本!$P$9,IF($I$7=基本!$F$13,基本!$P$18,IF($I$7=基本!$F$22,基本!$P$27,IF($I$7=基本!$F$31,基本!$P$36,IF($I$7=基本!$F$40,基本!$P$45,0)))))</f>
        <v>6</v>
      </c>
      <c r="M11" s="120"/>
      <c r="N11" s="330" t="s">
        <v>59</v>
      </c>
      <c r="O11" s="332">
        <v>0</v>
      </c>
      <c r="P11" s="394" t="s">
        <v>643</v>
      </c>
      <c r="Q11" s="396"/>
      <c r="R11" s="331">
        <f>IF($O$7=基本!$F$4,基本!$P$9,IF($O$7=基本!$F$13,基本!$P$18,IF($O$7=基本!$F$22,基本!$P$27,IF($O$7=基本!$F$31,基本!$P$36,IF($O$7=基本!$F$40,基本!$P$45,0)))))</f>
        <v>6</v>
      </c>
      <c r="S11" s="120"/>
    </row>
    <row r="12" spans="1:19" ht="8.25" customHeight="1">
      <c r="A12" s="71"/>
      <c r="B12" s="505"/>
      <c r="C12" s="506"/>
      <c r="D12" s="506"/>
      <c r="E12" s="506"/>
      <c r="F12" s="506"/>
      <c r="G12" s="507"/>
      <c r="H12" s="329" t="s">
        <v>319</v>
      </c>
      <c r="I12" s="332">
        <v>1</v>
      </c>
      <c r="J12" s="120"/>
      <c r="K12" s="120"/>
      <c r="L12" s="176" t="s">
        <v>318</v>
      </c>
      <c r="M12" s="334" t="s">
        <v>60</v>
      </c>
      <c r="N12" s="329" t="s">
        <v>319</v>
      </c>
      <c r="O12" s="332">
        <v>1</v>
      </c>
      <c r="P12" s="120"/>
      <c r="Q12" s="120"/>
      <c r="R12" s="176" t="s">
        <v>318</v>
      </c>
      <c r="S12" s="334" t="s">
        <v>60</v>
      </c>
    </row>
    <row r="13" spans="1:19" ht="13.5" customHeight="1">
      <c r="A13" s="71"/>
      <c r="B13" s="505" t="s">
        <v>159</v>
      </c>
      <c r="C13" s="506"/>
      <c r="D13" s="506"/>
      <c r="E13" s="506"/>
      <c r="F13" s="506"/>
      <c r="G13" s="507"/>
      <c r="H13" s="329" t="s">
        <v>86</v>
      </c>
      <c r="I13" s="32">
        <f>IF($I$7=基本!$F$4,基本!$F$9,IF($I$7=基本!$F$13,基本!$F$18,IF($I$7=基本!$F$22,基本!$F$27,IF($I$7=基本!$F$31,基本!$F$36,IF($I$7=基本!$F$40,基本!$F$45,0)))))*$I$12</f>
        <v>1</v>
      </c>
      <c r="J13" s="330" t="s">
        <v>44</v>
      </c>
      <c r="K13" s="32">
        <f>IF($I$7=基本!$F$4,基本!$H$9,IF($I$7=基本!$F$13,基本!$H$18,IF($I$7=基本!$F$22,基本!$H$27,IF($I$7=基本!$F$31,基本!$H$36,IF($I$7=基本!$F$40,基本!$H$45,0)))))</f>
        <v>10</v>
      </c>
      <c r="L13" s="177">
        <f>$J$10+$L$11+$I$11</f>
        <v>12</v>
      </c>
      <c r="M13" s="332"/>
      <c r="N13" s="329" t="s">
        <v>644</v>
      </c>
      <c r="O13" s="42">
        <f>IF($O$7=基本!$F$4,基本!$F$9,IF($O$7=基本!$F$13,基本!$F$18,IF($O$7=基本!$F$22,基本!$F$27,IF($O$7=基本!$F$31,基本!$F$36,IF($O$7=基本!$F$40,基本!$F$45,0)))))*$O$12</f>
        <v>1</v>
      </c>
      <c r="P13" s="330" t="s">
        <v>645</v>
      </c>
      <c r="Q13" s="42">
        <f>IF($O$7=基本!$F$4,基本!$H$9,IF($O$7=基本!$F$13,基本!$H$18,IF($O$7=基本!$F$22,基本!$H$27,IF($O$7=基本!$F$31,基本!$H$36,IF($O$7=基本!$F$40,基本!$H$45,0)))))</f>
        <v>6</v>
      </c>
      <c r="R13" s="177">
        <f>$P$10+$O$11+$R$11</f>
        <v>12</v>
      </c>
      <c r="S13" s="332"/>
    </row>
    <row r="14" spans="1:19" ht="8.25" customHeight="1">
      <c r="A14" s="71"/>
      <c r="B14" s="505"/>
      <c r="C14" s="506"/>
      <c r="D14" s="506"/>
      <c r="E14" s="506"/>
      <c r="F14" s="506"/>
      <c r="G14" s="507"/>
      <c r="H14" s="330" t="s">
        <v>50</v>
      </c>
      <c r="I14" s="32">
        <f>IF($I$7=基本!$F$4,基本!$L$11,IF($I$7=基本!$F$13,基本!$L$20,IF($I$7=基本!$F$22,基本!$L$29,IF($I$7=基本!$F$31,基本!$L$38,IF($I$7=基本!$F$40,基本!$L$47,0)))))</f>
        <v>4</v>
      </c>
      <c r="J14" s="330" t="s">
        <v>44</v>
      </c>
      <c r="K14" s="32">
        <f>IF($I$7=基本!$F$4,基本!$N$11,IF($I$7=基本!$F$13,基本!$N$20,IF($I$7=基本!$F$22,基本!$N$29,IF($I$7=基本!$F$31,基本!$N$38,IF($I$7=基本!$F$40,基本!$N$47,0)))))</f>
        <v>8</v>
      </c>
      <c r="L14" s="177">
        <f>$J$10+$L$11+$I$11+($I$13*$K$13)</f>
        <v>22</v>
      </c>
      <c r="M14" s="332"/>
      <c r="N14" s="330" t="s">
        <v>50</v>
      </c>
      <c r="O14" s="42">
        <f>IF($O$7=基本!$F$4,基本!$L$11,IF($O$7=基本!$F$13,基本!$L$20,IF($O$7=基本!$F$22,基本!$L$29,IF($O$7=基本!$F$31,基本!$L$38,IF($O$7=基本!$F$40,基本!$L$47,0)))))</f>
        <v>4</v>
      </c>
      <c r="P14" s="330" t="s">
        <v>645</v>
      </c>
      <c r="Q14" s="42">
        <f>IF($O$7=基本!$F$4,基本!$N$11,IF($O$7=基本!$F$13,基本!$N$20,IF($O$7=基本!$F$22,基本!$N$29,IF($O$7=基本!$F$31,基本!$N$38,IF($O$7=基本!$F$40,基本!$N$47,0)))))</f>
        <v>6</v>
      </c>
      <c r="R14" s="177">
        <f>$P$10+$R$11+$O$11+($O$13*$Q$13)</f>
        <v>18</v>
      </c>
      <c r="S14" s="332"/>
    </row>
    <row r="15" spans="1:19" ht="13.5" customHeight="1">
      <c r="A15" s="68" t="s">
        <v>7</v>
      </c>
      <c r="B15" s="480" t="s">
        <v>5</v>
      </c>
      <c r="C15" s="481"/>
      <c r="D15" s="482"/>
      <c r="E15" s="133" t="s">
        <v>43</v>
      </c>
      <c r="F15" s="336" t="str">
        <f>$I$5</f>
        <v>近接</v>
      </c>
      <c r="G15" s="336" t="str">
        <f>IF($J$5 = 0,"", $J$5)</f>
        <v>武器</v>
      </c>
      <c r="H15" s="120"/>
      <c r="I15" s="120"/>
      <c r="J15" s="120"/>
      <c r="K15" s="120"/>
      <c r="L15" s="120"/>
      <c r="M15" s="120"/>
      <c r="N15" s="120"/>
      <c r="O15" s="120"/>
      <c r="P15" s="120"/>
      <c r="Q15" s="120"/>
      <c r="R15" s="120"/>
      <c r="S15" s="120"/>
    </row>
    <row r="16" spans="1:19" s="114" customFormat="1" ht="13.5" customHeight="1">
      <c r="A16" s="140" t="s">
        <v>6</v>
      </c>
      <c r="B16" s="505" t="s">
        <v>580</v>
      </c>
      <c r="C16" s="506"/>
      <c r="D16" s="506"/>
      <c r="E16" s="506"/>
      <c r="F16" s="506"/>
      <c r="G16" s="507"/>
      <c r="H16" s="120"/>
      <c r="I16" s="120"/>
      <c r="J16" s="120"/>
      <c r="K16" s="120"/>
      <c r="L16" s="120"/>
      <c r="M16" s="120"/>
      <c r="N16" s="120"/>
      <c r="O16" s="120"/>
      <c r="P16" s="120"/>
      <c r="Q16" s="120"/>
      <c r="R16" s="120"/>
      <c r="S16" s="120"/>
    </row>
    <row r="17" spans="1:19" s="114" customFormat="1" ht="13.5" customHeight="1">
      <c r="A17" s="71" t="s">
        <v>156</v>
      </c>
      <c r="B17" s="480" t="s">
        <v>581</v>
      </c>
      <c r="C17" s="481"/>
      <c r="D17" s="481"/>
      <c r="E17" s="481"/>
      <c r="F17" s="481"/>
      <c r="G17" s="482"/>
      <c r="H17" s="120"/>
      <c r="I17" s="120"/>
      <c r="J17" s="120"/>
      <c r="K17" s="120"/>
      <c r="L17" s="120"/>
      <c r="M17" s="120"/>
      <c r="N17" s="120"/>
      <c r="O17" s="120"/>
      <c r="P17" s="120"/>
      <c r="Q17" s="120"/>
      <c r="R17" s="120"/>
      <c r="S17" s="120"/>
    </row>
    <row r="18" spans="1:19" s="114" customFormat="1" ht="13.5" customHeight="1">
      <c r="A18" s="70" t="s">
        <v>9</v>
      </c>
      <c r="B18" s="474" t="s">
        <v>536</v>
      </c>
      <c r="C18" s="475"/>
      <c r="D18" s="475"/>
      <c r="E18" s="475"/>
      <c r="F18" s="475"/>
      <c r="G18" s="476"/>
      <c r="H18" s="120"/>
      <c r="I18" s="120"/>
      <c r="J18" s="120"/>
      <c r="K18" s="120"/>
      <c r="L18" s="120"/>
      <c r="M18" s="120"/>
      <c r="N18" s="120"/>
      <c r="O18" s="120"/>
      <c r="P18" s="120"/>
      <c r="Q18" s="120"/>
      <c r="R18" s="120"/>
      <c r="S18" s="120"/>
    </row>
    <row r="19" spans="1:19" s="120" customFormat="1" ht="13.5" customHeight="1">
      <c r="A19" s="72"/>
      <c r="B19" s="578" t="s">
        <v>582</v>
      </c>
      <c r="C19" s="503"/>
      <c r="D19" s="503"/>
      <c r="E19" s="503"/>
      <c r="F19" s="503"/>
      <c r="G19" s="504"/>
      <c r="H19" s="79"/>
      <c r="I19" s="79"/>
      <c r="J19" s="79"/>
      <c r="K19" s="79"/>
    </row>
    <row r="20" spans="1:19" s="120" customFormat="1" ht="13.5" customHeight="1">
      <c r="A20" s="69" t="s">
        <v>512</v>
      </c>
      <c r="B20" s="534" t="s">
        <v>583</v>
      </c>
      <c r="C20" s="535"/>
      <c r="D20" s="535"/>
      <c r="E20" s="535"/>
      <c r="F20" s="535"/>
      <c r="G20" s="536"/>
      <c r="H20" s="79"/>
      <c r="I20" s="79"/>
      <c r="J20" s="79"/>
      <c r="K20" s="79"/>
    </row>
    <row r="21" spans="1:19" s="120" customFormat="1" ht="7.5" customHeight="1">
      <c r="A21" s="70"/>
      <c r="B21" s="505"/>
      <c r="C21" s="506"/>
      <c r="D21" s="506"/>
      <c r="E21" s="506"/>
      <c r="F21" s="506"/>
      <c r="G21" s="507"/>
      <c r="H21" s="79"/>
      <c r="I21" s="79"/>
      <c r="J21" s="79"/>
      <c r="K21" s="79"/>
    </row>
    <row r="22" spans="1:19" s="120" customFormat="1" ht="7.5" customHeight="1">
      <c r="A22" s="92"/>
      <c r="B22" s="537"/>
      <c r="C22" s="538"/>
      <c r="D22" s="538"/>
      <c r="E22" s="538"/>
      <c r="F22" s="538"/>
      <c r="G22" s="539"/>
      <c r="M22" s="91"/>
    </row>
    <row r="23" spans="1:19" s="120" customFormat="1" ht="7.5" customHeight="1">
      <c r="A23" s="92"/>
      <c r="B23" s="609"/>
      <c r="C23" s="610"/>
      <c r="D23" s="610"/>
      <c r="E23" s="610"/>
      <c r="F23" s="610"/>
      <c r="G23" s="611"/>
      <c r="M23" s="91"/>
    </row>
    <row r="24" spans="1:19" s="120" customFormat="1" ht="7.5" customHeight="1">
      <c r="A24" s="72"/>
      <c r="B24" s="578"/>
      <c r="C24" s="503"/>
      <c r="D24" s="503"/>
      <c r="E24" s="503"/>
      <c r="F24" s="503"/>
      <c r="G24" s="504"/>
    </row>
    <row r="25" spans="1:19" ht="14.25" thickBot="1">
      <c r="A25" s="104" t="s">
        <v>47</v>
      </c>
      <c r="E25" s="80"/>
    </row>
    <row r="26" spans="1:19" s="120" customFormat="1" ht="15" customHeight="1">
      <c r="A26" s="587" t="str">
        <f>$B$2</f>
        <v>フォーム・オヴ・ジ・アヴァランチ・アンリーシュト</v>
      </c>
      <c r="B26" s="588"/>
      <c r="C26" s="589"/>
      <c r="D26" s="550" t="s">
        <v>2</v>
      </c>
      <c r="E26" s="551"/>
      <c r="F26" s="552" t="s">
        <v>525</v>
      </c>
      <c r="G26" s="553"/>
    </row>
    <row r="27" spans="1:19" s="120" customFormat="1" ht="18.75" customHeight="1" thickBot="1">
      <c r="A27" s="590"/>
      <c r="B27" s="591"/>
      <c r="C27" s="592"/>
      <c r="D27" s="190" t="s">
        <v>2</v>
      </c>
      <c r="E27" s="191" t="s">
        <v>1</v>
      </c>
      <c r="F27" s="190" t="s">
        <v>2</v>
      </c>
      <c r="G27" s="343" t="s">
        <v>1</v>
      </c>
    </row>
    <row r="28" spans="1:19" s="120" customFormat="1" ht="21" customHeight="1">
      <c r="A28" s="540" t="s">
        <v>42</v>
      </c>
      <c r="B28" s="186" t="s">
        <v>117</v>
      </c>
      <c r="C28" s="542" t="str">
        <f>$K$8</f>
        <v>AC</v>
      </c>
      <c r="D28" s="185" t="str">
        <f>$L$8 &amp; "+1d20"</f>
        <v>22+1d20</v>
      </c>
      <c r="E28" s="198" t="str">
        <f>$L$8+2 &amp; "+1d20"</f>
        <v>24+1d20</v>
      </c>
      <c r="F28" s="185" t="str">
        <f>$R$8 &amp; "+1d20"</f>
        <v>22+1d20</v>
      </c>
      <c r="G28" s="344" t="str">
        <f>$R$8+2 &amp; "+1d20"</f>
        <v>24+1d20</v>
      </c>
    </row>
    <row r="29" spans="1:19" s="120" customFormat="1" ht="24" customHeight="1" thickBot="1">
      <c r="A29" s="541"/>
      <c r="B29" s="345" t="s">
        <v>668</v>
      </c>
      <c r="C29" s="543"/>
      <c r="D29" s="199" t="str">
        <f>3+$L$8 &amp; "+1d20"</f>
        <v>25+1d20</v>
      </c>
      <c r="E29" s="346" t="str">
        <f>3+$L$8+2 &amp; "+1d20"</f>
        <v>27+1d20</v>
      </c>
      <c r="F29" s="199" t="str">
        <f>3+$R$8 &amp; "+1d20"</f>
        <v>25+1d20</v>
      </c>
      <c r="G29" s="200" t="str">
        <f>3+$R$8+2 &amp; "+1d20"</f>
        <v>27+1d20</v>
      </c>
    </row>
    <row r="30" spans="1:19" s="120" customFormat="1" ht="23.25" customHeight="1">
      <c r="A30" s="470" t="s">
        <v>360</v>
      </c>
      <c r="B30" s="137" t="s">
        <v>361</v>
      </c>
      <c r="C30" s="335" t="str">
        <f>IF($M$13 = 0,"", $M$13)</f>
        <v/>
      </c>
      <c r="D30" s="56" t="str">
        <f>-2+$L$13 &amp; "+" &amp; $I$13 &amp; "d" &amp; $K$13</f>
        <v>10+1d10</v>
      </c>
      <c r="E30" s="56" t="str">
        <f>-2+$L$13 &amp; "+" &amp; $I$13 &amp; "d" &amp; $K$13</f>
        <v>10+1d10</v>
      </c>
      <c r="F30" s="56" t="str">
        <f>-2+$R$13 &amp; "+" &amp; $O$13 &amp; "d" &amp; $Q$13</f>
        <v>10+1d6</v>
      </c>
      <c r="G30" s="57" t="str">
        <f>-2+$R$13 &amp; "+" &amp; $O$13 &amp; "d" &amp; $Q$13</f>
        <v>10+1d6</v>
      </c>
    </row>
    <row r="31" spans="1:19" s="120" customFormat="1" ht="23.25" customHeight="1" thickBot="1">
      <c r="A31" s="471"/>
      <c r="B31" s="148" t="s">
        <v>362</v>
      </c>
      <c r="C31" s="347" t="str">
        <f>IF($M$14 = 0,"", $M$14)</f>
        <v/>
      </c>
      <c r="D31" s="150" t="str">
        <f>-2+$L$14 &amp; IF($I$14 =0,"","＆別の敵へ" &amp; $I$14 &amp; "d" &amp; $K$14)</f>
        <v>20＆別の敵へ4d8</v>
      </c>
      <c r="E31" s="150" t="str">
        <f t="shared" ref="E31" si="0">-2+$L$14 &amp; IF($I$14 =0,"","＆別の敵へ" &amp; $I$14 &amp; "d" &amp; $K$14)</f>
        <v>20＆別の敵へ4d8</v>
      </c>
      <c r="F31" s="150" t="str">
        <f>-2+$R$14 &amp; IF($O$14 = 0,"","+" &amp; $O$14 &amp; "d" &amp; $Q$14)</f>
        <v>16+4d6</v>
      </c>
      <c r="G31" s="305" t="str">
        <f>-2+$R$14 &amp; IF($O$14 = 0,"","+" &amp; $O$14 &amp; "d" &amp; $Q$14)</f>
        <v>16+4d6</v>
      </c>
    </row>
    <row r="32" spans="1:19" s="120" customFormat="1" ht="23.25" customHeight="1">
      <c r="A32" s="455" t="s">
        <v>136</v>
      </c>
      <c r="B32" s="137" t="s">
        <v>361</v>
      </c>
      <c r="C32" s="335" t="str">
        <f>IF($M$13 = 0,"", $M$13)</f>
        <v/>
      </c>
      <c r="D32" s="56" t="str">
        <f>$L$13 &amp; "+" &amp; $I$13 &amp; "d" &amp; $K$13</f>
        <v>12+1d10</v>
      </c>
      <c r="E32" s="56" t="str">
        <f>$L$13 &amp; "+" &amp; $I$13 &amp; "d" &amp; $K$13</f>
        <v>12+1d10</v>
      </c>
      <c r="F32" s="56" t="str">
        <f>$R$13 &amp; "+" &amp; $O$13 &amp; "d" &amp; $Q$13</f>
        <v>12+1d6</v>
      </c>
      <c r="G32" s="57" t="str">
        <f>$R$13 &amp; "+" &amp; $O$13 &amp; "d" &amp; $Q$13</f>
        <v>12+1d6</v>
      </c>
    </row>
    <row r="33" spans="1:11" s="120" customFormat="1" ht="23.25" customHeight="1" thickBot="1">
      <c r="A33" s="557"/>
      <c r="B33" s="148" t="s">
        <v>362</v>
      </c>
      <c r="C33" s="347" t="str">
        <f>IF($M$14 = 0,"", $M$14)</f>
        <v/>
      </c>
      <c r="D33" s="333" t="str">
        <f>$L$14 &amp; IF($I$14 =0,"","＆別の敵へ" &amp; $I$14 &amp; "d" &amp; $K$14)</f>
        <v>22＆別の敵へ4d8</v>
      </c>
      <c r="E33" s="333" t="str">
        <f t="shared" ref="E33" si="1">$L$14 &amp; IF($I$14 =0,"","＆別の敵へ" &amp; $I$14 &amp; "d" &amp; $K$14)</f>
        <v>22＆別の敵へ4d8</v>
      </c>
      <c r="F33" s="333" t="str">
        <f>$R$14 &amp; IF($O$14 = 0,"","+" &amp; $O$14 &amp; "d" &amp; $Q$14)</f>
        <v>18+4d6</v>
      </c>
      <c r="G33" s="305" t="str">
        <f>$R$14 &amp; IF($O$14 = 0,"","+" &amp; $O$14 &amp; "d" &amp; $Q$14)</f>
        <v>18+4d6</v>
      </c>
    </row>
    <row r="34" spans="1:11" s="120" customFormat="1" ht="8.25" customHeight="1">
      <c r="A34" s="472"/>
      <c r="B34" s="472"/>
      <c r="C34" s="472"/>
      <c r="D34" s="472"/>
      <c r="E34" s="472"/>
      <c r="F34" s="472"/>
      <c r="G34" s="472"/>
      <c r="H34" s="79"/>
      <c r="I34" s="79"/>
      <c r="J34" s="79"/>
      <c r="K34" s="79"/>
    </row>
    <row r="35" spans="1:11" s="120" customFormat="1" ht="15.75" customHeight="1">
      <c r="A35" s="457" t="s">
        <v>676</v>
      </c>
      <c r="B35" s="457"/>
      <c r="C35" s="457"/>
      <c r="D35" s="457"/>
      <c r="E35" s="457"/>
      <c r="F35" s="457"/>
      <c r="G35" s="457"/>
    </row>
    <row r="36" spans="1:11" s="120" customFormat="1" ht="13.5" customHeight="1">
      <c r="A36" s="458" t="s">
        <v>677</v>
      </c>
      <c r="B36" s="458"/>
      <c r="C36" s="458"/>
      <c r="D36" s="458"/>
      <c r="E36" s="458"/>
      <c r="F36" s="458"/>
      <c r="G36" s="458"/>
      <c r="H36" s="79"/>
      <c r="I36" s="79"/>
      <c r="J36" s="79"/>
      <c r="K36" s="79"/>
    </row>
    <row r="37" spans="1:11" s="120" customFormat="1" ht="15.75" customHeight="1">
      <c r="A37" s="457" t="s">
        <v>322</v>
      </c>
      <c r="B37" s="457"/>
      <c r="C37" s="457"/>
      <c r="D37" s="457"/>
      <c r="E37" s="457"/>
      <c r="F37" s="457"/>
      <c r="G37" s="457"/>
      <c r="H37" s="79"/>
    </row>
    <row r="38" spans="1:11" s="120" customFormat="1" ht="13.5" customHeight="1">
      <c r="A38" s="490" t="s">
        <v>359</v>
      </c>
      <c r="B38" s="490"/>
      <c r="C38" s="490"/>
      <c r="D38" s="490"/>
      <c r="E38" s="490"/>
      <c r="F38" s="490"/>
      <c r="G38" s="490"/>
      <c r="H38" s="79"/>
      <c r="I38" s="79"/>
      <c r="J38" s="79"/>
      <c r="K38" s="79"/>
    </row>
    <row r="39" spans="1:11" s="120" customFormat="1" ht="13.5" customHeight="1">
      <c r="A39" s="458" t="s">
        <v>323</v>
      </c>
      <c r="B39" s="458"/>
      <c r="C39" s="458"/>
      <c r="D39" s="458"/>
      <c r="E39" s="458"/>
      <c r="F39" s="458"/>
      <c r="G39" s="458"/>
      <c r="H39" s="79"/>
      <c r="I39" s="79"/>
      <c r="J39" s="79"/>
      <c r="K39" s="79"/>
    </row>
    <row r="40" spans="1:11" s="120" customFormat="1" ht="15.75" customHeight="1">
      <c r="A40" s="457" t="s">
        <v>325</v>
      </c>
      <c r="B40" s="457"/>
      <c r="C40" s="457"/>
      <c r="D40" s="457"/>
      <c r="E40" s="457"/>
      <c r="F40" s="457"/>
      <c r="G40" s="457"/>
      <c r="H40" s="79"/>
    </row>
    <row r="41" spans="1:11" s="120" customFormat="1" ht="13.5" customHeight="1">
      <c r="A41" s="490" t="s">
        <v>326</v>
      </c>
      <c r="B41" s="490"/>
      <c r="C41" s="490"/>
      <c r="D41" s="490"/>
      <c r="E41" s="490"/>
      <c r="F41" s="490"/>
      <c r="G41" s="490"/>
      <c r="H41" s="79"/>
      <c r="I41" s="79"/>
      <c r="J41" s="79"/>
      <c r="K41" s="79"/>
    </row>
    <row r="42" spans="1:11" s="120" customFormat="1" ht="13.5" customHeight="1">
      <c r="A42" s="458" t="s">
        <v>327</v>
      </c>
      <c r="B42" s="458"/>
      <c r="C42" s="458"/>
      <c r="D42" s="458"/>
      <c r="E42" s="458"/>
      <c r="F42" s="458"/>
      <c r="G42" s="458"/>
      <c r="H42" s="79"/>
      <c r="I42" s="79"/>
      <c r="J42" s="79"/>
      <c r="K42" s="79"/>
    </row>
    <row r="43" spans="1:11" s="120" customFormat="1" ht="8.25" customHeight="1">
      <c r="A43" s="453"/>
      <c r="B43" s="453"/>
      <c r="C43" s="453"/>
      <c r="D43" s="453"/>
      <c r="E43" s="453"/>
      <c r="F43" s="453"/>
      <c r="G43" s="453"/>
      <c r="H43" s="79"/>
      <c r="I43" s="79"/>
      <c r="J43" s="79"/>
      <c r="K43" s="79"/>
    </row>
    <row r="44" spans="1:11" ht="13.5" customHeight="1">
      <c r="A44" s="531" t="s">
        <v>49</v>
      </c>
      <c r="B44" s="532"/>
      <c r="C44" s="532"/>
      <c r="D44" s="532"/>
      <c r="E44" s="532"/>
      <c r="F44" s="532"/>
      <c r="G44" s="533"/>
    </row>
    <row r="45" spans="1:11" s="100" customFormat="1" ht="7.5" customHeight="1">
      <c r="A45" s="505"/>
      <c r="B45" s="506"/>
      <c r="C45" s="506"/>
      <c r="D45" s="506"/>
      <c r="E45" s="506"/>
      <c r="F45" s="506"/>
      <c r="G45" s="507"/>
      <c r="H45" s="99"/>
      <c r="I45" s="99"/>
      <c r="J45" s="99"/>
      <c r="K45" s="99"/>
    </row>
    <row r="46" spans="1:11" s="100" customFormat="1" ht="13.5" customHeight="1">
      <c r="A46" s="505" t="s">
        <v>585</v>
      </c>
      <c r="B46" s="506"/>
      <c r="C46" s="506"/>
      <c r="D46" s="506"/>
      <c r="E46" s="506"/>
      <c r="F46" s="506"/>
      <c r="G46" s="507"/>
      <c r="H46" s="99"/>
      <c r="I46" s="99"/>
      <c r="J46" s="99"/>
      <c r="K46" s="99"/>
    </row>
    <row r="47" spans="1:11" s="100" customFormat="1" ht="13.5" customHeight="1">
      <c r="A47" s="505" t="s">
        <v>593</v>
      </c>
      <c r="B47" s="506"/>
      <c r="C47" s="506"/>
      <c r="D47" s="506"/>
      <c r="E47" s="506"/>
      <c r="F47" s="506"/>
      <c r="G47" s="507"/>
      <c r="H47" s="99"/>
      <c r="I47" s="99"/>
      <c r="J47" s="99"/>
      <c r="K47" s="99"/>
    </row>
    <row r="48" spans="1:11" s="100" customFormat="1" ht="13.5" customHeight="1">
      <c r="A48" s="505" t="s">
        <v>586</v>
      </c>
      <c r="B48" s="506"/>
      <c r="C48" s="506"/>
      <c r="D48" s="506"/>
      <c r="E48" s="506"/>
      <c r="F48" s="506"/>
      <c r="G48" s="507"/>
      <c r="H48" s="99"/>
      <c r="I48" s="99"/>
      <c r="J48" s="99"/>
      <c r="K48" s="99"/>
    </row>
    <row r="49" spans="1:12" s="100" customFormat="1" ht="13.5" customHeight="1">
      <c r="A49" s="505" t="s">
        <v>591</v>
      </c>
      <c r="B49" s="506"/>
      <c r="C49" s="506"/>
      <c r="D49" s="506"/>
      <c r="E49" s="506"/>
      <c r="F49" s="506"/>
      <c r="G49" s="507"/>
      <c r="H49" s="99"/>
      <c r="I49" s="99"/>
      <c r="J49" s="99"/>
      <c r="K49" s="99"/>
    </row>
    <row r="50" spans="1:12" s="100" customFormat="1" ht="13.5" customHeight="1">
      <c r="A50" s="505" t="s">
        <v>594</v>
      </c>
      <c r="B50" s="506"/>
      <c r="C50" s="506"/>
      <c r="D50" s="506"/>
      <c r="E50" s="506"/>
      <c r="F50" s="506"/>
      <c r="G50" s="507"/>
      <c r="H50" s="99"/>
      <c r="I50" s="99"/>
      <c r="J50" s="99"/>
      <c r="K50" s="99"/>
    </row>
    <row r="51" spans="1:12" s="100" customFormat="1" ht="13.5" customHeight="1">
      <c r="A51" s="505" t="s">
        <v>595</v>
      </c>
      <c r="B51" s="506"/>
      <c r="C51" s="506"/>
      <c r="D51" s="506"/>
      <c r="E51" s="506"/>
      <c r="F51" s="506"/>
      <c r="G51" s="507"/>
      <c r="H51" s="99"/>
      <c r="I51" s="99"/>
      <c r="J51" s="99"/>
      <c r="K51" s="99"/>
    </row>
    <row r="52" spans="1:12" s="100" customFormat="1" ht="13.5" customHeight="1">
      <c r="A52" s="505" t="s">
        <v>588</v>
      </c>
      <c r="B52" s="506"/>
      <c r="C52" s="506"/>
      <c r="D52" s="506"/>
      <c r="E52" s="506"/>
      <c r="F52" s="506"/>
      <c r="G52" s="507"/>
      <c r="H52" s="99"/>
      <c r="I52" s="99"/>
      <c r="J52" s="99"/>
      <c r="K52" s="99"/>
    </row>
    <row r="53" spans="1:12" s="100" customFormat="1" ht="13.5" customHeight="1">
      <c r="A53" s="505" t="s">
        <v>589</v>
      </c>
      <c r="B53" s="506"/>
      <c r="C53" s="506"/>
      <c r="D53" s="506"/>
      <c r="E53" s="506"/>
      <c r="F53" s="506"/>
      <c r="G53" s="507"/>
      <c r="H53" s="99"/>
      <c r="I53" s="99"/>
      <c r="J53" s="99"/>
      <c r="K53" s="99"/>
    </row>
    <row r="54" spans="1:12" s="100" customFormat="1" ht="13.5" customHeight="1">
      <c r="A54" s="505" t="s">
        <v>590</v>
      </c>
      <c r="B54" s="506"/>
      <c r="C54" s="506"/>
      <c r="D54" s="506"/>
      <c r="E54" s="506"/>
      <c r="F54" s="506"/>
      <c r="G54" s="507"/>
      <c r="H54" s="99"/>
      <c r="I54" s="99"/>
      <c r="J54" s="99"/>
      <c r="K54" s="99"/>
    </row>
    <row r="55" spans="1:12" s="100" customFormat="1" ht="13.5" customHeight="1">
      <c r="A55" s="505" t="s">
        <v>596</v>
      </c>
      <c r="B55" s="506"/>
      <c r="C55" s="506"/>
      <c r="D55" s="506"/>
      <c r="E55" s="506"/>
      <c r="F55" s="506"/>
      <c r="G55" s="507"/>
      <c r="H55" s="99"/>
      <c r="I55" s="99"/>
      <c r="J55" s="99"/>
      <c r="K55" s="99"/>
    </row>
    <row r="56" spans="1:12" s="100" customFormat="1" ht="13.5" customHeight="1">
      <c r="A56" s="505" t="s">
        <v>592</v>
      </c>
      <c r="B56" s="506"/>
      <c r="C56" s="506"/>
      <c r="D56" s="506"/>
      <c r="E56" s="506"/>
      <c r="F56" s="506"/>
      <c r="G56" s="507"/>
      <c r="H56" s="99"/>
      <c r="I56" s="99"/>
      <c r="J56" s="99"/>
      <c r="K56" s="99"/>
    </row>
    <row r="57" spans="1:12" s="99" customFormat="1" ht="7.5" customHeight="1">
      <c r="A57" s="578"/>
      <c r="B57" s="503"/>
      <c r="C57" s="503"/>
      <c r="D57" s="503"/>
      <c r="E57" s="503"/>
      <c r="F57" s="503"/>
      <c r="G57" s="504"/>
      <c r="L57" s="100"/>
    </row>
    <row r="58" spans="1:12" s="79" customFormat="1" ht="21">
      <c r="A58" s="108" t="s">
        <v>121</v>
      </c>
      <c r="B58" s="109">
        <f>$B$1</f>
        <v>15</v>
      </c>
      <c r="C58" s="110" t="s">
        <v>40</v>
      </c>
      <c r="D58" s="111" t="str">
        <f>$E$1</f>
        <v>一日毎</v>
      </c>
      <c r="E58" s="594" t="str">
        <f>$B$2</f>
        <v>フォーム・オヴ・ジ・アヴァランチ・アンリーシュト</v>
      </c>
      <c r="F58" s="595"/>
      <c r="G58" s="596"/>
      <c r="L58" s="103"/>
    </row>
  </sheetData>
  <mergeCells count="62">
    <mergeCell ref="A41:G41"/>
    <mergeCell ref="A35:G35"/>
    <mergeCell ref="A36:G36"/>
    <mergeCell ref="A34:G34"/>
    <mergeCell ref="A37:G37"/>
    <mergeCell ref="A38:G38"/>
    <mergeCell ref="A39:G39"/>
    <mergeCell ref="A40:G40"/>
    <mergeCell ref="B1:C1"/>
    <mergeCell ref="F1:G1"/>
    <mergeCell ref="B2:G2"/>
    <mergeCell ref="B4:G4"/>
    <mergeCell ref="B5:G5"/>
    <mergeCell ref="E58:G58"/>
    <mergeCell ref="A44:G44"/>
    <mergeCell ref="A45:G45"/>
    <mergeCell ref="A54:G54"/>
    <mergeCell ref="A50:G50"/>
    <mergeCell ref="A47:G47"/>
    <mergeCell ref="A53:G53"/>
    <mergeCell ref="A51:G51"/>
    <mergeCell ref="A56:G56"/>
    <mergeCell ref="A52:G52"/>
    <mergeCell ref="A55:G55"/>
    <mergeCell ref="A42:G42"/>
    <mergeCell ref="A46:G46"/>
    <mergeCell ref="A49:G49"/>
    <mergeCell ref="A48:G48"/>
    <mergeCell ref="A57:G57"/>
    <mergeCell ref="A43:G43"/>
    <mergeCell ref="N4:S4"/>
    <mergeCell ref="P9:Q9"/>
    <mergeCell ref="P11:Q11"/>
    <mergeCell ref="A26:C27"/>
    <mergeCell ref="D26:E26"/>
    <mergeCell ref="F26:G26"/>
    <mergeCell ref="B17:G17"/>
    <mergeCell ref="B16:G16"/>
    <mergeCell ref="B6:D6"/>
    <mergeCell ref="B7:D7"/>
    <mergeCell ref="B8:G8"/>
    <mergeCell ref="B9:G9"/>
    <mergeCell ref="B10:G10"/>
    <mergeCell ref="B12:G12"/>
    <mergeCell ref="B19:G19"/>
    <mergeCell ref="B20:G20"/>
    <mergeCell ref="A28:A29"/>
    <mergeCell ref="C28:C29"/>
    <mergeCell ref="A30:A31"/>
    <mergeCell ref="A32:A33"/>
    <mergeCell ref="H4:M4"/>
    <mergeCell ref="B21:G21"/>
    <mergeCell ref="B22:G22"/>
    <mergeCell ref="B23:G23"/>
    <mergeCell ref="B24:G24"/>
    <mergeCell ref="J9:K9"/>
    <mergeCell ref="B11:G11"/>
    <mergeCell ref="B15:D15"/>
    <mergeCell ref="J11:K11"/>
    <mergeCell ref="B13:G13"/>
    <mergeCell ref="B14:G14"/>
    <mergeCell ref="B18:G18"/>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xm:sqref>
        </x14:dataValidation>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 type="list" allowBlank="1" showInputMessage="1" showErrorMessage="1">
          <x14:formula1>
            <xm:f>基本!$A$16:$A$19</xm:f>
          </x14:formula1>
          <xm:sqref>K8</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基本!$D$27:$D$31</xm:f>
          </x14:formula1>
          <xm:sqref>I7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S58"/>
  <sheetViews>
    <sheetView zoomScaleNormal="100" workbookViewId="0">
      <selection activeCell="B14" sqref="B14:G14"/>
    </sheetView>
  </sheetViews>
  <sheetFormatPr defaultRowHeight="13.5"/>
  <cols>
    <col min="1" max="1" width="7.875" style="120" customWidth="1"/>
    <col min="2" max="2" width="8.5" style="120" customWidth="1"/>
    <col min="3" max="3" width="6.625" style="120" customWidth="1"/>
    <col min="4" max="4" width="15.75" style="120" customWidth="1"/>
    <col min="5" max="6" width="15.75" style="79" customWidth="1"/>
    <col min="7" max="7" width="18.25" style="79" customWidth="1"/>
    <col min="8" max="8" width="17.375" style="79" customWidth="1"/>
    <col min="9" max="9" width="14.625" style="79" customWidth="1"/>
    <col min="10" max="10" width="8.375" style="79" customWidth="1"/>
    <col min="11" max="11" width="7.5" style="79" customWidth="1"/>
    <col min="12" max="12" width="7.875" style="120" customWidth="1"/>
    <col min="13" max="13" width="9.25" style="120" customWidth="1"/>
    <col min="14" max="14" width="12.375" style="120" customWidth="1"/>
    <col min="15" max="16384" width="9" style="120"/>
  </cols>
  <sheetData>
    <row r="1" spans="1:19" ht="21">
      <c r="A1" s="81"/>
      <c r="B1" s="485" t="s">
        <v>164</v>
      </c>
      <c r="C1" s="486"/>
      <c r="D1" s="83" t="s">
        <v>40</v>
      </c>
      <c r="E1" s="82" t="s">
        <v>41</v>
      </c>
      <c r="F1" s="487"/>
      <c r="G1" s="488"/>
      <c r="H1" s="84" t="s">
        <v>55</v>
      </c>
    </row>
    <row r="2" spans="1:19" ht="24.75" customHeight="1">
      <c r="A2" s="83" t="s">
        <v>0</v>
      </c>
      <c r="B2" s="489" t="s">
        <v>165</v>
      </c>
      <c r="C2" s="489"/>
      <c r="D2" s="489"/>
      <c r="E2" s="489"/>
      <c r="F2" s="489"/>
      <c r="G2" s="489"/>
      <c r="H2" s="84" t="s">
        <v>56</v>
      </c>
    </row>
    <row r="3" spans="1:19" ht="19.5" customHeight="1">
      <c r="A3" s="90" t="s">
        <v>48</v>
      </c>
      <c r="B3" s="79"/>
      <c r="C3" s="79"/>
      <c r="D3" s="79"/>
      <c r="I3" s="84"/>
    </row>
    <row r="4" spans="1:19">
      <c r="A4" s="67" t="s">
        <v>46</v>
      </c>
      <c r="B4" s="480" t="s">
        <v>166</v>
      </c>
      <c r="C4" s="481"/>
      <c r="D4" s="481"/>
      <c r="E4" s="481"/>
      <c r="F4" s="481"/>
      <c r="G4" s="482"/>
      <c r="H4" s="394" t="s">
        <v>646</v>
      </c>
      <c r="I4" s="395"/>
      <c r="J4" s="395"/>
      <c r="K4" s="395"/>
      <c r="L4" s="395"/>
      <c r="M4" s="396"/>
      <c r="N4" s="394" t="s">
        <v>646</v>
      </c>
      <c r="O4" s="395"/>
      <c r="P4" s="395"/>
      <c r="Q4" s="395"/>
      <c r="R4" s="395"/>
      <c r="S4" s="396"/>
    </row>
    <row r="5" spans="1:19">
      <c r="A5" s="68" t="s">
        <v>39</v>
      </c>
      <c r="B5" s="480" t="s">
        <v>173</v>
      </c>
      <c r="C5" s="481"/>
      <c r="D5" s="481"/>
      <c r="E5" s="481"/>
      <c r="F5" s="481"/>
      <c r="G5" s="482"/>
      <c r="H5" s="337" t="s">
        <v>43</v>
      </c>
      <c r="I5" s="338" t="s">
        <v>69</v>
      </c>
      <c r="J5" s="338" t="s">
        <v>100</v>
      </c>
      <c r="N5" s="337" t="s">
        <v>43</v>
      </c>
      <c r="O5" s="338" t="s">
        <v>71</v>
      </c>
      <c r="P5" s="338" t="s">
        <v>100</v>
      </c>
      <c r="Q5" s="79"/>
    </row>
    <row r="6" spans="1:19">
      <c r="A6" s="68" t="s">
        <v>7</v>
      </c>
      <c r="B6" s="480" t="s">
        <v>150</v>
      </c>
      <c r="C6" s="481"/>
      <c r="D6" s="482"/>
      <c r="E6" s="133" t="s">
        <v>43</v>
      </c>
      <c r="F6" s="134" t="str">
        <f>$I$5</f>
        <v>近接</v>
      </c>
      <c r="G6" s="134" t="str">
        <f>IF($J$5 = 0,"", $J$5)</f>
        <v>武器</v>
      </c>
      <c r="H6" s="337" t="s">
        <v>66</v>
      </c>
      <c r="I6" s="338"/>
      <c r="J6" s="338"/>
      <c r="N6" s="337" t="s">
        <v>66</v>
      </c>
      <c r="O6" s="338"/>
      <c r="P6" s="338"/>
      <c r="Q6" s="79"/>
    </row>
    <row r="7" spans="1:19">
      <c r="A7" s="69" t="s">
        <v>6</v>
      </c>
      <c r="B7" s="584" t="s">
        <v>167</v>
      </c>
      <c r="C7" s="585"/>
      <c r="D7" s="586"/>
      <c r="E7" s="133" t="s">
        <v>66</v>
      </c>
      <c r="F7" s="152" t="str">
        <f>IF($I$6 = 0,"", $I$6)</f>
        <v/>
      </c>
      <c r="G7" s="152" t="str">
        <f>IF($J$6 = 0,"", $J$6)</f>
        <v/>
      </c>
      <c r="H7" s="337" t="s">
        <v>85</v>
      </c>
      <c r="I7" s="338" t="s">
        <v>116</v>
      </c>
      <c r="J7" s="84" t="s">
        <v>62</v>
      </c>
      <c r="L7" s="176" t="s">
        <v>318</v>
      </c>
      <c r="N7" s="337" t="s">
        <v>85</v>
      </c>
      <c r="O7" s="338" t="s">
        <v>525</v>
      </c>
      <c r="P7" s="84" t="s">
        <v>62</v>
      </c>
      <c r="Q7" s="79"/>
      <c r="R7" s="176" t="s">
        <v>318</v>
      </c>
    </row>
    <row r="8" spans="1:19">
      <c r="A8" s="70" t="s">
        <v>128</v>
      </c>
      <c r="B8" s="474" t="s">
        <v>168</v>
      </c>
      <c r="C8" s="475"/>
      <c r="D8" s="475"/>
      <c r="E8" s="475"/>
      <c r="F8" s="475"/>
      <c r="G8" s="476"/>
      <c r="H8" s="337" t="s">
        <v>51</v>
      </c>
      <c r="I8" s="338" t="s">
        <v>12</v>
      </c>
      <c r="J8" s="336">
        <f>IF($I$8 = "筋力",基本!$C$5,IF($I$8 = "耐久力",基本!$C$6,IF($I$8 = "敏捷力",基本!$C$7,IF($I$8 = "知力",基本!$C$8,IF($I$8 = "判断力",基本!$C$9,IF($I$8 = "魅力",基本!$C$10,""))))))</f>
        <v>6</v>
      </c>
      <c r="K8" s="338" t="s">
        <v>19</v>
      </c>
      <c r="L8" s="177">
        <f>$J$8+$L$9+$I$9</f>
        <v>22</v>
      </c>
      <c r="N8" s="337" t="s">
        <v>51</v>
      </c>
      <c r="O8" s="338" t="s">
        <v>12</v>
      </c>
      <c r="P8" s="336">
        <f>IF(O8="",0,VLOOKUP(O8,基本!$A$5:'基本'!$C$10,3,FALSE))</f>
        <v>6</v>
      </c>
      <c r="Q8" s="338" t="s">
        <v>90</v>
      </c>
      <c r="R8" s="177">
        <f>$P$8+$O$9+$R$9</f>
        <v>22</v>
      </c>
    </row>
    <row r="9" spans="1:19" ht="14.25" customHeight="1">
      <c r="A9" s="72"/>
      <c r="B9" s="578" t="s">
        <v>169</v>
      </c>
      <c r="C9" s="503"/>
      <c r="D9" s="503"/>
      <c r="E9" s="503"/>
      <c r="F9" s="503"/>
      <c r="G9" s="504"/>
      <c r="H9" s="337" t="s">
        <v>58</v>
      </c>
      <c r="I9" s="338">
        <v>0</v>
      </c>
      <c r="J9" s="394" t="s">
        <v>53</v>
      </c>
      <c r="K9" s="396"/>
      <c r="L9" s="336">
        <f>IF($I$7=基本!$F$4,基本!$P$7,IF($I$7=基本!$F$13,基本!$P$16,IF($I$7=基本!$F$22,基本!$P$25,IF($I$7=基本!$F$31,基本!$P$34,IF($I$7=基本!$F$40,基本!$P$43,0)))))</f>
        <v>16</v>
      </c>
      <c r="N9" s="337" t="s">
        <v>58</v>
      </c>
      <c r="O9" s="338">
        <v>0</v>
      </c>
      <c r="P9" s="394" t="s">
        <v>53</v>
      </c>
      <c r="Q9" s="396"/>
      <c r="R9" s="336">
        <f>IF($O$7=基本!$F$4,基本!$P$7,IF($O$7=基本!$F$13,基本!$P$16,IF($O$7=基本!$F$22,基本!$P$25,IF($O$7=基本!$F$31,基本!$P$34,IF($O$7=基本!$F$40,基本!$P$43,0)))))</f>
        <v>16</v>
      </c>
    </row>
    <row r="10" spans="1:19" ht="14.25" customHeight="1">
      <c r="A10" s="71" t="s">
        <v>61</v>
      </c>
      <c r="B10" s="505" t="s">
        <v>170</v>
      </c>
      <c r="C10" s="506"/>
      <c r="D10" s="506"/>
      <c r="E10" s="506"/>
      <c r="F10" s="506"/>
      <c r="G10" s="507"/>
      <c r="H10" s="339" t="s">
        <v>52</v>
      </c>
      <c r="I10" s="338" t="s">
        <v>12</v>
      </c>
      <c r="J10" s="88">
        <f>IF(I10 = "筋力",基本!$C$5,IF(I10 = "耐久力",基本!$C$6,IF(I10 = "敏捷力",基本!$C$7,IF(I10 = "知力",基本!$C$8,IF(I10 = "判断力",基本!$C$9,IF(I10 = "魅力",基本!$C$10,""))))))</f>
        <v>6</v>
      </c>
      <c r="K10" s="338" t="s">
        <v>16</v>
      </c>
      <c r="L10" s="88">
        <f>IF(K10 = "筋力",基本!$C$5,IF(K10 = "耐久力",基本!$C$6,IF(K10 = "敏捷力",基本!$C$7,IF(K10 = "知力",基本!$C$8,IF(K10 = "判断力",基本!$C$9,IF(K10 = "魅力",基本!$C$10,""))))))</f>
        <v>6</v>
      </c>
      <c r="N10" s="339" t="s">
        <v>52</v>
      </c>
      <c r="O10" s="338" t="s">
        <v>12</v>
      </c>
      <c r="P10" s="88">
        <f>IF(O10 = "筋力",基本!$C$5,IF(O10 = "耐久力",基本!$C$6,IF(O10 = "敏捷力",基本!$C$7,IF(O10 = "知力",基本!$C$8,IF(O10 = "判断力",基本!$C$9,IF(O10 = "魅力",基本!$C$10,""))))))</f>
        <v>6</v>
      </c>
      <c r="Q10" s="338" t="s">
        <v>16</v>
      </c>
      <c r="R10" s="88">
        <f>IF(Q10 = "筋力",基本!$C$5,IF(Q10 = "耐久力",基本!$C$6,IF(Q10 = "敏捷力",基本!$C$7,IF(Q10 = "知力",基本!$C$8,IF(Q10 = "判断力",基本!$C$9,IF(Q10 = "魅力",基本!$C$10,""))))))</f>
        <v>6</v>
      </c>
    </row>
    <row r="11" spans="1:19" ht="14.25" customHeight="1">
      <c r="A11" s="71"/>
      <c r="B11" s="505" t="s">
        <v>210</v>
      </c>
      <c r="C11" s="506"/>
      <c r="D11" s="506"/>
      <c r="E11" s="506"/>
      <c r="F11" s="506"/>
      <c r="G11" s="507"/>
      <c r="H11" s="337" t="s">
        <v>59</v>
      </c>
      <c r="I11" s="338">
        <v>0</v>
      </c>
      <c r="J11" s="394" t="s">
        <v>54</v>
      </c>
      <c r="K11" s="396"/>
      <c r="L11" s="336">
        <f>IF($I$7=基本!$F$4,基本!$P$9,IF($I$7=基本!$F$13,基本!$P$18,IF($I$7=基本!$F$22,基本!$P$27,IF($I$7=基本!$F$31,基本!$P$36,IF($I$7=基本!$F$40,基本!$P$45,0)))))</f>
        <v>6</v>
      </c>
      <c r="N11" s="337" t="s">
        <v>59</v>
      </c>
      <c r="O11" s="338">
        <v>0</v>
      </c>
      <c r="P11" s="394" t="s">
        <v>54</v>
      </c>
      <c r="Q11" s="396"/>
      <c r="R11" s="336">
        <f>IF($O$7=基本!$F$4,基本!$P$9,IF($O$7=基本!$F$13,基本!$P$18,IF($O$7=基本!$F$22,基本!$P$27,IF($O$7=基本!$F$31,基本!$P$36,IF($O$7=基本!$F$40,基本!$P$45,0)))))</f>
        <v>6</v>
      </c>
    </row>
    <row r="12" spans="1:19">
      <c r="A12" s="71"/>
      <c r="B12" s="505"/>
      <c r="C12" s="506"/>
      <c r="D12" s="506"/>
      <c r="E12" s="506"/>
      <c r="F12" s="506"/>
      <c r="G12" s="507"/>
      <c r="H12" s="340" t="s">
        <v>319</v>
      </c>
      <c r="I12" s="338">
        <v>1</v>
      </c>
      <c r="J12" s="120"/>
      <c r="K12" s="120"/>
      <c r="L12" s="176" t="s">
        <v>318</v>
      </c>
      <c r="M12" s="334" t="s">
        <v>60</v>
      </c>
      <c r="N12" s="340" t="s">
        <v>319</v>
      </c>
      <c r="O12" s="338">
        <v>1</v>
      </c>
      <c r="R12" s="176" t="s">
        <v>318</v>
      </c>
      <c r="S12" s="334" t="s">
        <v>60</v>
      </c>
    </row>
    <row r="13" spans="1:19" ht="14.25" customHeight="1">
      <c r="A13" s="71"/>
      <c r="B13" s="483"/>
      <c r="C13" s="472"/>
      <c r="D13" s="472"/>
      <c r="E13" s="472"/>
      <c r="F13" s="472"/>
      <c r="G13" s="472"/>
      <c r="H13" s="340" t="s">
        <v>86</v>
      </c>
      <c r="I13" s="32">
        <f>IF($I$7=基本!$F$4,基本!$F$9,IF($I$7=基本!$F$13,基本!$F$18,IF($I$7=基本!$F$22,基本!$F$27,IF($I$7=基本!$F$31,基本!$F$36,IF($I$7=基本!$F$40,基本!$F$45,0)))))*$I$12</f>
        <v>1</v>
      </c>
      <c r="J13" s="337" t="s">
        <v>44</v>
      </c>
      <c r="K13" s="32">
        <f>IF($I$7=基本!$F$4,基本!$H$9,IF($I$7=基本!$F$13,基本!$H$18,IF($I$7=基本!$F$22,基本!$H$27,IF($I$7=基本!$F$31,基本!$H$36,IF($I$7=基本!$F$40,基本!$H$45,0)))))</f>
        <v>10</v>
      </c>
      <c r="L13" s="177">
        <f>$J$10+$L$11+$I$11</f>
        <v>12</v>
      </c>
      <c r="M13" s="338"/>
      <c r="N13" s="340" t="s">
        <v>86</v>
      </c>
      <c r="O13" s="42">
        <f>IF($O$7=基本!$F$4,基本!$F$9,IF($O$7=基本!$F$13,基本!$F$18,IF($O$7=基本!$F$22,基本!$F$27,IF($O$7=基本!$F$31,基本!$F$36,IF($O$7=基本!$F$40,基本!$F$45,0)))))*$O$12</f>
        <v>1</v>
      </c>
      <c r="P13" s="337" t="s">
        <v>44</v>
      </c>
      <c r="Q13" s="42">
        <f>IF($O$7=基本!$F$4,基本!$H$9,IF($O$7=基本!$F$13,基本!$H$18,IF($O$7=基本!$F$22,基本!$H$27,IF($O$7=基本!$F$31,基本!$H$36,IF($O$7=基本!$F$40,基本!$H$45,0)))))</f>
        <v>6</v>
      </c>
      <c r="R13" s="177">
        <f>$P$10+$O$11+$R$11</f>
        <v>12</v>
      </c>
      <c r="S13" s="338"/>
    </row>
    <row r="14" spans="1:19" ht="25.5">
      <c r="A14" s="92"/>
      <c r="B14" s="570" t="str">
        <f>"敵の攻撃前に "&amp; $L$10 &amp;" マスシフト可能！"</f>
        <v>敵の攻撃前に 6 マスシフト可能！</v>
      </c>
      <c r="C14" s="571"/>
      <c r="D14" s="571"/>
      <c r="E14" s="571"/>
      <c r="F14" s="571"/>
      <c r="G14" s="572"/>
      <c r="H14" s="337" t="s">
        <v>50</v>
      </c>
      <c r="I14" s="32">
        <f>IF($I$7=基本!$F$4,基本!$L$11,IF($I$7=基本!$F$13,基本!$L$20,IF($I$7=基本!$F$22,基本!$L$29,IF($I$7=基本!$F$31,基本!$L$38,IF($I$7=基本!$F$40,基本!$L$47,0)))))</f>
        <v>4</v>
      </c>
      <c r="J14" s="337" t="s">
        <v>44</v>
      </c>
      <c r="K14" s="32">
        <f>IF($I$7=基本!$F$4,基本!$N$11,IF($I$7=基本!$F$13,基本!$N$20,IF($I$7=基本!$F$22,基本!$N$29,IF($I$7=基本!$F$31,基本!$N$38,IF($I$7=基本!$F$40,基本!$N$47,0)))))</f>
        <v>8</v>
      </c>
      <c r="L14" s="177">
        <f>$J$10+$L$11+$I$11+($I$13*$K$13)</f>
        <v>22</v>
      </c>
      <c r="M14" s="338"/>
      <c r="N14" s="337" t="s">
        <v>50</v>
      </c>
      <c r="O14" s="42">
        <f>IF($O$7=基本!$F$4,基本!$L$11,IF($O$7=基本!$F$13,基本!$L$20,IF($O$7=基本!$F$22,基本!$L$29,IF($O$7=基本!$F$31,基本!$L$38,IF($O$7=基本!$F$40,基本!$L$47,0)))))</f>
        <v>4</v>
      </c>
      <c r="P14" s="337" t="s">
        <v>44</v>
      </c>
      <c r="Q14" s="42">
        <f>IF($O$7=基本!$F$4,基本!$N$11,IF($O$7=基本!$F$13,基本!$N$20,IF($O$7=基本!$F$22,基本!$N$29,IF($O$7=基本!$F$31,基本!$N$38,IF($O$7=基本!$F$40,基本!$N$47,0)))))</f>
        <v>6</v>
      </c>
      <c r="R14" s="177">
        <f>$P$10+$R$11+$O$11+($O$13*$Q$13)</f>
        <v>18</v>
      </c>
      <c r="S14" s="338"/>
    </row>
    <row r="15" spans="1:19" ht="6.75" customHeight="1">
      <c r="A15" s="71"/>
      <c r="B15" s="505"/>
      <c r="C15" s="506"/>
      <c r="D15" s="506"/>
      <c r="E15" s="506"/>
      <c r="F15" s="506"/>
      <c r="G15" s="507"/>
      <c r="H15" s="120"/>
      <c r="I15" s="120"/>
      <c r="J15" s="120"/>
      <c r="K15" s="120"/>
    </row>
    <row r="16" spans="1:19" ht="6.75" customHeight="1">
      <c r="A16" s="72"/>
      <c r="B16" s="452"/>
      <c r="C16" s="453"/>
      <c r="D16" s="453"/>
      <c r="E16" s="453"/>
      <c r="F16" s="453"/>
      <c r="G16" s="454"/>
      <c r="H16" s="120"/>
      <c r="I16" s="120"/>
      <c r="J16" s="120"/>
      <c r="K16" s="120"/>
    </row>
    <row r="17" spans="1:12" ht="8.25" customHeight="1">
      <c r="A17" s="472"/>
      <c r="B17" s="472"/>
      <c r="C17" s="472"/>
      <c r="D17" s="472"/>
      <c r="E17" s="472"/>
      <c r="F17" s="472"/>
      <c r="G17" s="472"/>
    </row>
    <row r="18" spans="1:12" ht="18.75" customHeight="1">
      <c r="A18" s="457" t="s">
        <v>263</v>
      </c>
      <c r="B18" s="457"/>
      <c r="C18" s="457"/>
      <c r="D18" s="457"/>
      <c r="E18" s="457"/>
      <c r="F18" s="457"/>
      <c r="G18" s="457"/>
      <c r="I18" s="120"/>
      <c r="J18" s="120"/>
      <c r="K18" s="120"/>
    </row>
    <row r="19" spans="1:12" ht="13.5" customHeight="1">
      <c r="A19" s="458" t="s">
        <v>264</v>
      </c>
      <c r="B19" s="458"/>
      <c r="C19" s="458"/>
      <c r="D19" s="458"/>
      <c r="E19" s="458"/>
      <c r="F19" s="458"/>
      <c r="G19" s="458"/>
    </row>
    <row r="20" spans="1:12" ht="13.5" customHeight="1">
      <c r="A20" s="458" t="s">
        <v>265</v>
      </c>
      <c r="B20" s="458"/>
      <c r="C20" s="458"/>
      <c r="D20" s="458"/>
      <c r="E20" s="458"/>
      <c r="F20" s="458"/>
      <c r="G20" s="458"/>
    </row>
    <row r="21" spans="1:12" ht="18.75" customHeight="1">
      <c r="A21" s="457" t="s">
        <v>532</v>
      </c>
      <c r="B21" s="457"/>
      <c r="C21" s="457"/>
      <c r="D21" s="457"/>
      <c r="E21" s="457"/>
      <c r="F21" s="457"/>
      <c r="G21" s="457"/>
      <c r="I21" s="120"/>
      <c r="J21" s="120"/>
      <c r="K21" s="120"/>
    </row>
    <row r="22" spans="1:12" ht="13.5" customHeight="1">
      <c r="A22" s="458" t="s">
        <v>533</v>
      </c>
      <c r="B22" s="458"/>
      <c r="C22" s="458"/>
      <c r="D22" s="458"/>
      <c r="E22" s="458"/>
      <c r="F22" s="458"/>
      <c r="G22" s="458"/>
    </row>
    <row r="23" spans="1:12" ht="13.5" customHeight="1">
      <c r="A23" s="458" t="s">
        <v>534</v>
      </c>
      <c r="B23" s="458"/>
      <c r="C23" s="458"/>
      <c r="D23" s="458"/>
      <c r="E23" s="458"/>
      <c r="F23" s="458"/>
      <c r="G23" s="458"/>
    </row>
    <row r="24" spans="1:12" ht="18.75" customHeight="1">
      <c r="A24" s="457" t="s">
        <v>355</v>
      </c>
      <c r="B24" s="457"/>
      <c r="C24" s="457"/>
      <c r="D24" s="457"/>
      <c r="E24" s="457"/>
      <c r="F24" s="457"/>
      <c r="G24" s="457"/>
      <c r="I24" s="120"/>
      <c r="J24" s="120"/>
      <c r="K24" s="120"/>
    </row>
    <row r="25" spans="1:12" ht="13.5" customHeight="1">
      <c r="A25" s="458" t="s">
        <v>356</v>
      </c>
      <c r="B25" s="458"/>
      <c r="C25" s="458"/>
      <c r="D25" s="458"/>
      <c r="E25" s="458"/>
      <c r="F25" s="458"/>
      <c r="G25" s="458"/>
    </row>
    <row r="26" spans="1:12" ht="13.5" customHeight="1">
      <c r="A26" s="458" t="s">
        <v>357</v>
      </c>
      <c r="B26" s="458"/>
      <c r="C26" s="458"/>
      <c r="D26" s="458"/>
      <c r="E26" s="458"/>
      <c r="F26" s="458"/>
      <c r="G26" s="458"/>
    </row>
    <row r="27" spans="1:12" ht="8.25" customHeight="1">
      <c r="A27" s="453"/>
      <c r="B27" s="453"/>
      <c r="C27" s="453"/>
      <c r="D27" s="453"/>
      <c r="E27" s="453"/>
      <c r="F27" s="453"/>
      <c r="G27" s="453"/>
    </row>
    <row r="28" spans="1:12">
      <c r="A28" s="531" t="s">
        <v>49</v>
      </c>
      <c r="B28" s="532"/>
      <c r="C28" s="532"/>
      <c r="D28" s="532"/>
      <c r="E28" s="532"/>
      <c r="F28" s="532"/>
      <c r="G28" s="533"/>
    </row>
    <row r="29" spans="1:12" s="79" customFormat="1" ht="5.25" customHeight="1">
      <c r="A29" s="529"/>
      <c r="B29" s="457"/>
      <c r="C29" s="457"/>
      <c r="D29" s="457"/>
      <c r="E29" s="457"/>
      <c r="F29" s="457"/>
      <c r="G29" s="530"/>
      <c r="L29" s="120"/>
    </row>
    <row r="30" spans="1:12" s="79" customFormat="1" ht="18.75" customHeight="1">
      <c r="A30" s="477" t="s">
        <v>211</v>
      </c>
      <c r="B30" s="478"/>
      <c r="C30" s="478"/>
      <c r="D30" s="478"/>
      <c r="E30" s="478"/>
      <c r="F30" s="478"/>
      <c r="G30" s="479"/>
      <c r="L30" s="120"/>
    </row>
    <row r="31" spans="1:12" s="79" customFormat="1" ht="13.5" customHeight="1">
      <c r="A31" s="526"/>
      <c r="B31" s="527"/>
      <c r="C31" s="527"/>
      <c r="D31" s="527"/>
      <c r="E31" s="527"/>
      <c r="F31" s="527"/>
      <c r="G31" s="528"/>
      <c r="L31" s="120"/>
    </row>
    <row r="32" spans="1:12" s="79" customFormat="1" ht="13.5" customHeight="1">
      <c r="A32" s="526" t="s">
        <v>212</v>
      </c>
      <c r="B32" s="527"/>
      <c r="C32" s="527"/>
      <c r="D32" s="527"/>
      <c r="E32" s="527"/>
      <c r="F32" s="527"/>
      <c r="G32" s="528"/>
      <c r="L32" s="120"/>
    </row>
    <row r="33" spans="1:12" s="79" customFormat="1" ht="13.5" customHeight="1">
      <c r="A33" s="505" t="s">
        <v>214</v>
      </c>
      <c r="B33" s="506"/>
      <c r="C33" s="506"/>
      <c r="D33" s="506"/>
      <c r="E33" s="506"/>
      <c r="F33" s="506"/>
      <c r="G33" s="507"/>
      <c r="L33" s="120"/>
    </row>
    <row r="34" spans="1:12" s="79" customFormat="1" ht="13.5" customHeight="1">
      <c r="A34" s="523" t="s">
        <v>213</v>
      </c>
      <c r="B34" s="524"/>
      <c r="C34" s="524"/>
      <c r="D34" s="524"/>
      <c r="E34" s="524"/>
      <c r="F34" s="524"/>
      <c r="G34" s="525"/>
      <c r="L34" s="120"/>
    </row>
    <row r="35" spans="1:12" s="79" customFormat="1" ht="13.5" customHeight="1">
      <c r="A35" s="523" t="s">
        <v>232</v>
      </c>
      <c r="B35" s="524"/>
      <c r="C35" s="524"/>
      <c r="D35" s="524"/>
      <c r="E35" s="524"/>
      <c r="F35" s="524"/>
      <c r="G35" s="525"/>
      <c r="L35" s="120"/>
    </row>
    <row r="36" spans="1:12" s="79" customFormat="1" ht="13.5" customHeight="1">
      <c r="A36" s="523" t="s">
        <v>233</v>
      </c>
      <c r="B36" s="524"/>
      <c r="C36" s="524"/>
      <c r="D36" s="524"/>
      <c r="E36" s="524"/>
      <c r="F36" s="524"/>
      <c r="G36" s="525"/>
      <c r="L36" s="120"/>
    </row>
    <row r="37" spans="1:12" s="79" customFormat="1" ht="13.5" customHeight="1">
      <c r="A37" s="523" t="s">
        <v>215</v>
      </c>
      <c r="B37" s="524"/>
      <c r="C37" s="524"/>
      <c r="D37" s="524"/>
      <c r="E37" s="524"/>
      <c r="F37" s="524"/>
      <c r="G37" s="525"/>
      <c r="L37" s="120"/>
    </row>
    <row r="38" spans="1:12" s="79" customFormat="1" ht="13.5" customHeight="1">
      <c r="A38" s="526"/>
      <c r="B38" s="527"/>
      <c r="C38" s="527"/>
      <c r="D38" s="527"/>
      <c r="E38" s="527"/>
      <c r="F38" s="527"/>
      <c r="G38" s="528"/>
      <c r="L38" s="120"/>
    </row>
    <row r="39" spans="1:12" s="79" customFormat="1" ht="13.5" customHeight="1">
      <c r="A39" s="526" t="s">
        <v>216</v>
      </c>
      <c r="B39" s="527"/>
      <c r="C39" s="527"/>
      <c r="D39" s="527"/>
      <c r="E39" s="527"/>
      <c r="F39" s="527"/>
      <c r="G39" s="528"/>
      <c r="L39" s="120"/>
    </row>
    <row r="40" spans="1:12" s="79" customFormat="1" ht="13.5" customHeight="1">
      <c r="A40" s="523" t="s">
        <v>217</v>
      </c>
      <c r="B40" s="524"/>
      <c r="C40" s="524"/>
      <c r="D40" s="524"/>
      <c r="E40" s="524"/>
      <c r="F40" s="524"/>
      <c r="G40" s="525"/>
      <c r="L40" s="120"/>
    </row>
    <row r="41" spans="1:12" s="79" customFormat="1" ht="13.5" customHeight="1">
      <c r="A41" s="523" t="s">
        <v>218</v>
      </c>
      <c r="B41" s="524"/>
      <c r="C41" s="524"/>
      <c r="D41" s="524"/>
      <c r="E41" s="524"/>
      <c r="F41" s="524"/>
      <c r="G41" s="525"/>
      <c r="L41" s="120"/>
    </row>
    <row r="42" spans="1:12" s="79" customFormat="1" ht="13.5" customHeight="1">
      <c r="A42" s="523" t="s">
        <v>219</v>
      </c>
      <c r="B42" s="524"/>
      <c r="C42" s="524"/>
      <c r="D42" s="524"/>
      <c r="E42" s="524"/>
      <c r="F42" s="524"/>
      <c r="G42" s="525"/>
      <c r="L42" s="120"/>
    </row>
    <row r="43" spans="1:12" s="79" customFormat="1" ht="13.5" customHeight="1">
      <c r="A43" s="526"/>
      <c r="B43" s="527"/>
      <c r="C43" s="527"/>
      <c r="D43" s="527"/>
      <c r="E43" s="527"/>
      <c r="F43" s="527"/>
      <c r="G43" s="528"/>
      <c r="L43" s="120"/>
    </row>
    <row r="44" spans="1:12" s="79" customFormat="1" ht="13.5" customHeight="1">
      <c r="A44" s="526" t="s">
        <v>515</v>
      </c>
      <c r="B44" s="527"/>
      <c r="C44" s="527"/>
      <c r="D44" s="527"/>
      <c r="E44" s="527"/>
      <c r="F44" s="527"/>
      <c r="G44" s="528"/>
      <c r="L44" s="120"/>
    </row>
    <row r="45" spans="1:12" s="79" customFormat="1" ht="13.5" customHeight="1">
      <c r="A45" s="523" t="s">
        <v>516</v>
      </c>
      <c r="B45" s="524"/>
      <c r="C45" s="524"/>
      <c r="D45" s="524"/>
      <c r="E45" s="524"/>
      <c r="F45" s="524"/>
      <c r="G45" s="525"/>
      <c r="L45" s="120"/>
    </row>
    <row r="46" spans="1:12" s="79" customFormat="1" ht="13.5" customHeight="1">
      <c r="A46" s="523" t="s">
        <v>517</v>
      </c>
      <c r="B46" s="524"/>
      <c r="C46" s="524"/>
      <c r="D46" s="524"/>
      <c r="E46" s="524"/>
      <c r="F46" s="524"/>
      <c r="G46" s="525"/>
      <c r="L46" s="120"/>
    </row>
    <row r="47" spans="1:12" s="79" customFormat="1" ht="13.5" customHeight="1">
      <c r="A47" s="526"/>
      <c r="B47" s="527"/>
      <c r="C47" s="527"/>
      <c r="D47" s="527"/>
      <c r="E47" s="527"/>
      <c r="F47" s="527"/>
      <c r="G47" s="528"/>
      <c r="L47" s="120"/>
    </row>
    <row r="48" spans="1:12" s="79" customFormat="1" ht="13.5" customHeight="1">
      <c r="A48" s="526" t="s">
        <v>538</v>
      </c>
      <c r="B48" s="527"/>
      <c r="C48" s="527"/>
      <c r="D48" s="527"/>
      <c r="E48" s="527"/>
      <c r="F48" s="527"/>
      <c r="G48" s="528"/>
      <c r="L48" s="120"/>
    </row>
    <row r="49" spans="1:12" s="79" customFormat="1" ht="13.5" customHeight="1">
      <c r="A49" s="523" t="s">
        <v>539</v>
      </c>
      <c r="B49" s="524"/>
      <c r="C49" s="524"/>
      <c r="D49" s="524"/>
      <c r="E49" s="524"/>
      <c r="F49" s="524"/>
      <c r="G49" s="525"/>
      <c r="L49" s="120"/>
    </row>
    <row r="50" spans="1:12" s="79" customFormat="1" ht="13.5" customHeight="1">
      <c r="A50" s="523" t="s">
        <v>540</v>
      </c>
      <c r="B50" s="524"/>
      <c r="C50" s="524"/>
      <c r="D50" s="524"/>
      <c r="E50" s="524"/>
      <c r="F50" s="524"/>
      <c r="G50" s="525"/>
      <c r="L50" s="120"/>
    </row>
    <row r="51" spans="1:12" s="79" customFormat="1" ht="13.5" customHeight="1">
      <c r="A51" s="523" t="s">
        <v>542</v>
      </c>
      <c r="B51" s="524"/>
      <c r="C51" s="524"/>
      <c r="D51" s="524"/>
      <c r="E51" s="524"/>
      <c r="F51" s="524"/>
      <c r="G51" s="525"/>
      <c r="L51" s="120"/>
    </row>
    <row r="52" spans="1:12" s="79" customFormat="1" ht="13.5" customHeight="1">
      <c r="A52" s="523" t="s">
        <v>541</v>
      </c>
      <c r="B52" s="524"/>
      <c r="C52" s="524"/>
      <c r="D52" s="524"/>
      <c r="E52" s="524"/>
      <c r="F52" s="524"/>
      <c r="G52" s="525"/>
      <c r="L52" s="120"/>
    </row>
    <row r="53" spans="1:12" s="79" customFormat="1" ht="13.5" customHeight="1">
      <c r="A53" s="526"/>
      <c r="B53" s="527"/>
      <c r="C53" s="527"/>
      <c r="D53" s="527"/>
      <c r="E53" s="527"/>
      <c r="F53" s="527"/>
      <c r="G53" s="528"/>
      <c r="L53" s="120"/>
    </row>
    <row r="54" spans="1:12" s="79" customFormat="1" ht="13.5" customHeight="1">
      <c r="A54" s="526"/>
      <c r="B54" s="527"/>
      <c r="C54" s="527"/>
      <c r="D54" s="527"/>
      <c r="E54" s="527"/>
      <c r="F54" s="527"/>
      <c r="G54" s="528"/>
      <c r="L54" s="120"/>
    </row>
    <row r="55" spans="1:12" s="79" customFormat="1" ht="13.5" customHeight="1">
      <c r="A55" s="526"/>
      <c r="B55" s="527"/>
      <c r="C55" s="527"/>
      <c r="D55" s="527"/>
      <c r="E55" s="527"/>
      <c r="F55" s="527"/>
      <c r="G55" s="528"/>
      <c r="L55" s="120"/>
    </row>
    <row r="56" spans="1:12" s="79" customFormat="1" ht="13.5" customHeight="1">
      <c r="A56" s="526"/>
      <c r="B56" s="527"/>
      <c r="C56" s="527"/>
      <c r="D56" s="527"/>
      <c r="E56" s="527"/>
      <c r="F56" s="527"/>
      <c r="G56" s="528"/>
      <c r="L56" s="120"/>
    </row>
    <row r="57" spans="1:12" s="79" customFormat="1" ht="13.5" customHeight="1">
      <c r="A57" s="526"/>
      <c r="B57" s="527"/>
      <c r="C57" s="527"/>
      <c r="D57" s="527"/>
      <c r="E57" s="527"/>
      <c r="F57" s="527"/>
      <c r="G57" s="528"/>
      <c r="L57" s="120"/>
    </row>
    <row r="58" spans="1:12" s="79" customFormat="1" ht="21">
      <c r="A58" s="612" t="str">
        <f>$B$1</f>
        <v>クラス特徴</v>
      </c>
      <c r="B58" s="613"/>
      <c r="C58" s="86" t="s">
        <v>40</v>
      </c>
      <c r="D58" s="87" t="str">
        <f>$E$1</f>
        <v>無限回</v>
      </c>
      <c r="E58" s="465" t="str">
        <f>$B$2</f>
        <v>ウォーデンズ・グラブズ</v>
      </c>
      <c r="F58" s="466"/>
      <c r="G58" s="467"/>
      <c r="L58" s="120"/>
    </row>
  </sheetData>
  <mergeCells count="65">
    <mergeCell ref="A22:G22"/>
    <mergeCell ref="A23:G23"/>
    <mergeCell ref="B6:D6"/>
    <mergeCell ref="B7:D7"/>
    <mergeCell ref="B8:G8"/>
    <mergeCell ref="B9:G9"/>
    <mergeCell ref="B10:G10"/>
    <mergeCell ref="A20:G20"/>
    <mergeCell ref="H4:M4"/>
    <mergeCell ref="N4:S4"/>
    <mergeCell ref="P9:Q9"/>
    <mergeCell ref="P11:Q11"/>
    <mergeCell ref="A21:G21"/>
    <mergeCell ref="J9:K9"/>
    <mergeCell ref="J11:K11"/>
    <mergeCell ref="B13:G13"/>
    <mergeCell ref="B14:G14"/>
    <mergeCell ref="B15:G15"/>
    <mergeCell ref="B12:G12"/>
    <mergeCell ref="B11:G11"/>
    <mergeCell ref="B16:G16"/>
    <mergeCell ref="A17:G17"/>
    <mergeCell ref="A18:G18"/>
    <mergeCell ref="A19:G19"/>
    <mergeCell ref="A48:G48"/>
    <mergeCell ref="A49:G49"/>
    <mergeCell ref="A50:G50"/>
    <mergeCell ref="A27:G27"/>
    <mergeCell ref="A28:G28"/>
    <mergeCell ref="A29:G29"/>
    <mergeCell ref="A30:G30"/>
    <mergeCell ref="A43:G43"/>
    <mergeCell ref="A32:G32"/>
    <mergeCell ref="A57:G57"/>
    <mergeCell ref="A58:B58"/>
    <mergeCell ref="A44:G44"/>
    <mergeCell ref="A45:G45"/>
    <mergeCell ref="B1:C1"/>
    <mergeCell ref="F1:G1"/>
    <mergeCell ref="B2:G2"/>
    <mergeCell ref="B4:G4"/>
    <mergeCell ref="B5:G5"/>
    <mergeCell ref="A51:G51"/>
    <mergeCell ref="A52:G52"/>
    <mergeCell ref="A24:G24"/>
    <mergeCell ref="A25:G25"/>
    <mergeCell ref="A26:G26"/>
    <mergeCell ref="A46:G46"/>
    <mergeCell ref="A47:G47"/>
    <mergeCell ref="A31:G31"/>
    <mergeCell ref="A41:G41"/>
    <mergeCell ref="A42:G42"/>
    <mergeCell ref="A33:G33"/>
    <mergeCell ref="E58:G58"/>
    <mergeCell ref="A34:G34"/>
    <mergeCell ref="A36:G36"/>
    <mergeCell ref="A37:G37"/>
    <mergeCell ref="A38:G38"/>
    <mergeCell ref="A39:G39"/>
    <mergeCell ref="A40:G40"/>
    <mergeCell ref="A35:G35"/>
    <mergeCell ref="A53:G53"/>
    <mergeCell ref="A54:G54"/>
    <mergeCell ref="A55:G55"/>
    <mergeCell ref="A56:G56"/>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K8</xm:sqref>
        </x14:dataValidation>
        <x14:dataValidation type="list" allowBlank="1" showInputMessage="1" showErrorMessage="1">
          <x14:formula1>
            <xm:f>基本!$D$27:$D$31</xm:f>
          </x14:formula1>
          <xm:sqref>I7</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S55"/>
  <sheetViews>
    <sheetView zoomScaleNormal="100" workbookViewId="0">
      <selection activeCell="B2" sqref="B2:G2"/>
    </sheetView>
  </sheetViews>
  <sheetFormatPr defaultRowHeight="13.5"/>
  <cols>
    <col min="1" max="1" width="7.875" style="120" customWidth="1"/>
    <col min="2" max="2" width="8.5" style="120" customWidth="1"/>
    <col min="3" max="3" width="6.625" style="120" customWidth="1"/>
    <col min="4" max="4" width="15.75" style="120" customWidth="1"/>
    <col min="5" max="6" width="15.75" style="79" customWidth="1"/>
    <col min="7" max="7" width="18.25" style="79" customWidth="1"/>
    <col min="8" max="8" width="17.375" style="79" customWidth="1"/>
    <col min="9" max="9" width="14.625" style="79" customWidth="1"/>
    <col min="10" max="10" width="8.375" style="79" customWidth="1"/>
    <col min="11" max="11" width="7.5" style="79" customWidth="1"/>
    <col min="12" max="12" width="7.875" style="120" customWidth="1"/>
    <col min="13" max="13" width="9.25" style="120" customWidth="1"/>
    <col min="14" max="14" width="12.375" style="120" customWidth="1"/>
    <col min="15" max="16384" width="9" style="120"/>
  </cols>
  <sheetData>
    <row r="1" spans="1:19" ht="21">
      <c r="A1" s="81"/>
      <c r="B1" s="485" t="s">
        <v>164</v>
      </c>
      <c r="C1" s="486"/>
      <c r="D1" s="83" t="s">
        <v>40</v>
      </c>
      <c r="E1" s="82" t="s">
        <v>41</v>
      </c>
      <c r="F1" s="487"/>
      <c r="G1" s="488"/>
      <c r="H1" s="84" t="s">
        <v>55</v>
      </c>
    </row>
    <row r="2" spans="1:19" ht="24.75" customHeight="1">
      <c r="A2" s="83" t="s">
        <v>0</v>
      </c>
      <c r="B2" s="489" t="s">
        <v>285</v>
      </c>
      <c r="C2" s="489"/>
      <c r="D2" s="489"/>
      <c r="E2" s="489"/>
      <c r="F2" s="489"/>
      <c r="G2" s="489"/>
      <c r="H2" s="84" t="s">
        <v>56</v>
      </c>
    </row>
    <row r="3" spans="1:19" ht="19.5" customHeight="1">
      <c r="A3" s="90" t="s">
        <v>48</v>
      </c>
      <c r="B3" s="79"/>
      <c r="C3" s="79"/>
      <c r="D3" s="79"/>
      <c r="I3" s="84"/>
    </row>
    <row r="4" spans="1:19">
      <c r="A4" s="67" t="s">
        <v>46</v>
      </c>
      <c r="B4" s="480" t="s">
        <v>166</v>
      </c>
      <c r="C4" s="481"/>
      <c r="D4" s="481"/>
      <c r="E4" s="481"/>
      <c r="F4" s="481"/>
      <c r="G4" s="482"/>
      <c r="H4" s="394" t="s">
        <v>646</v>
      </c>
      <c r="I4" s="395"/>
      <c r="J4" s="395"/>
      <c r="K4" s="395"/>
      <c r="L4" s="395"/>
      <c r="M4" s="396"/>
      <c r="N4" s="394" t="s">
        <v>646</v>
      </c>
      <c r="O4" s="395"/>
      <c r="P4" s="395"/>
      <c r="Q4" s="395"/>
      <c r="R4" s="395"/>
      <c r="S4" s="396"/>
    </row>
    <row r="5" spans="1:19">
      <c r="A5" s="68" t="s">
        <v>39</v>
      </c>
      <c r="B5" s="480" t="s">
        <v>172</v>
      </c>
      <c r="C5" s="481"/>
      <c r="D5" s="481"/>
      <c r="E5" s="481"/>
      <c r="F5" s="481"/>
      <c r="G5" s="482"/>
      <c r="H5" s="330" t="s">
        <v>43</v>
      </c>
      <c r="I5" s="332" t="s">
        <v>69</v>
      </c>
      <c r="J5" s="332" t="s">
        <v>100</v>
      </c>
      <c r="N5" s="330" t="s">
        <v>43</v>
      </c>
      <c r="O5" s="332" t="s">
        <v>71</v>
      </c>
      <c r="P5" s="332" t="s">
        <v>100</v>
      </c>
      <c r="Q5" s="79"/>
    </row>
    <row r="6" spans="1:19">
      <c r="A6" s="68" t="s">
        <v>7</v>
      </c>
      <c r="B6" s="480" t="s">
        <v>132</v>
      </c>
      <c r="C6" s="481"/>
      <c r="D6" s="482"/>
      <c r="E6" s="133" t="s">
        <v>43</v>
      </c>
      <c r="F6" s="152" t="str">
        <f>$I$5</f>
        <v>近接</v>
      </c>
      <c r="G6" s="152" t="str">
        <f>IF($J$5 = 0,"", $J$5)</f>
        <v>武器</v>
      </c>
      <c r="H6" s="330" t="s">
        <v>66</v>
      </c>
      <c r="I6" s="332"/>
      <c r="J6" s="332"/>
      <c r="N6" s="330" t="s">
        <v>66</v>
      </c>
      <c r="O6" s="332"/>
      <c r="P6" s="332"/>
      <c r="Q6" s="79"/>
    </row>
    <row r="7" spans="1:19">
      <c r="A7" s="69" t="s">
        <v>6</v>
      </c>
      <c r="B7" s="480" t="s">
        <v>171</v>
      </c>
      <c r="C7" s="481"/>
      <c r="D7" s="482"/>
      <c r="E7" s="133" t="s">
        <v>66</v>
      </c>
      <c r="F7" s="134" t="str">
        <f>IF($I$6 = 0,"", $I$6)</f>
        <v/>
      </c>
      <c r="G7" s="134" t="str">
        <f>IF($J$6 = 0,"", $J$6)</f>
        <v/>
      </c>
      <c r="H7" s="330" t="s">
        <v>85</v>
      </c>
      <c r="I7" s="332" t="s">
        <v>116</v>
      </c>
      <c r="J7" s="84" t="s">
        <v>62</v>
      </c>
      <c r="L7" s="176" t="s">
        <v>318</v>
      </c>
      <c r="N7" s="330" t="s">
        <v>85</v>
      </c>
      <c r="O7" s="332" t="s">
        <v>525</v>
      </c>
      <c r="P7" s="84" t="s">
        <v>62</v>
      </c>
      <c r="Q7" s="79"/>
      <c r="R7" s="176" t="s">
        <v>318</v>
      </c>
    </row>
    <row r="8" spans="1:19">
      <c r="A8" s="70" t="s">
        <v>128</v>
      </c>
      <c r="B8" s="474" t="s">
        <v>175</v>
      </c>
      <c r="C8" s="475"/>
      <c r="D8" s="475"/>
      <c r="E8" s="475"/>
      <c r="F8" s="475"/>
      <c r="G8" s="476"/>
      <c r="H8" s="330" t="s">
        <v>51</v>
      </c>
      <c r="I8" s="332" t="s">
        <v>12</v>
      </c>
      <c r="J8" s="331">
        <f>IF($I$8 = "筋力",基本!$C$5,IF($I$8 = "耐久力",基本!$C$6,IF($I$8 = "敏捷力",基本!$C$7,IF($I$8 = "知力",基本!$C$8,IF($I$8 = "判断力",基本!$C$9,IF($I$8 = "魅力",基本!$C$10,""))))))</f>
        <v>6</v>
      </c>
      <c r="K8" s="332" t="s">
        <v>670</v>
      </c>
      <c r="L8" s="177">
        <f>$J$8+$L$9+$I$9</f>
        <v>22</v>
      </c>
      <c r="N8" s="330" t="s">
        <v>51</v>
      </c>
      <c r="O8" s="332" t="s">
        <v>12</v>
      </c>
      <c r="P8" s="331">
        <f>IF(O8="",0,VLOOKUP(O8,基本!$A$5:'基本'!$C$10,3,FALSE))</f>
        <v>6</v>
      </c>
      <c r="Q8" s="332" t="s">
        <v>90</v>
      </c>
      <c r="R8" s="177">
        <f>$P$8+$O$9+$R$9</f>
        <v>22</v>
      </c>
    </row>
    <row r="9" spans="1:19" ht="7.5" customHeight="1">
      <c r="A9" s="72"/>
      <c r="B9" s="578"/>
      <c r="C9" s="503"/>
      <c r="D9" s="503"/>
      <c r="E9" s="503"/>
      <c r="F9" s="503"/>
      <c r="G9" s="504"/>
      <c r="H9" s="330" t="s">
        <v>58</v>
      </c>
      <c r="I9" s="332">
        <v>0</v>
      </c>
      <c r="J9" s="394" t="s">
        <v>53</v>
      </c>
      <c r="K9" s="396"/>
      <c r="L9" s="331">
        <f>IF($I$7=基本!$F$4,基本!$P$7,IF($I$7=基本!$F$13,基本!$P$16,IF($I$7=基本!$F$22,基本!$P$25,IF($I$7=基本!$F$31,基本!$P$34,IF($I$7=基本!$F$40,基本!$P$43,0)))))</f>
        <v>16</v>
      </c>
      <c r="N9" s="330" t="s">
        <v>58</v>
      </c>
      <c r="O9" s="332">
        <v>0</v>
      </c>
      <c r="P9" s="394" t="s">
        <v>53</v>
      </c>
      <c r="Q9" s="396"/>
      <c r="R9" s="331">
        <f>IF($O$7=基本!$F$4,基本!$P$7,IF($O$7=基本!$F$13,基本!$P$16,IF($O$7=基本!$F$22,基本!$P$25,IF($O$7=基本!$F$31,基本!$P$34,IF($O$7=基本!$F$40,基本!$P$43,0)))))</f>
        <v>16</v>
      </c>
    </row>
    <row r="10" spans="1:19" ht="14.25" customHeight="1">
      <c r="A10" s="69" t="s">
        <v>8</v>
      </c>
      <c r="B10" s="534" t="s">
        <v>272</v>
      </c>
      <c r="C10" s="535"/>
      <c r="D10" s="535"/>
      <c r="E10" s="535"/>
      <c r="F10" s="535"/>
      <c r="G10" s="536"/>
      <c r="H10" s="328" t="s">
        <v>52</v>
      </c>
      <c r="I10" s="332" t="s">
        <v>12</v>
      </c>
      <c r="J10" s="88">
        <f>IF(I10 = "筋力",基本!$C$5,IF(I10 = "耐久力",基本!$C$6,IF(I10 = "敏捷力",基本!$C$7,IF(I10 = "知力",基本!$C$8,IF(I10 = "判断力",基本!$C$9,IF(I10 = "魅力",基本!$C$10,""))))))</f>
        <v>6</v>
      </c>
      <c r="K10" s="332" t="s">
        <v>16</v>
      </c>
      <c r="L10" s="88">
        <f>IF(K10 = "筋力",基本!$C$5,IF(K10 = "耐久力",基本!$C$6,IF(K10 = "敏捷力",基本!$C$7,IF(K10 = "知力",基本!$C$8,IF(K10 = "判断力",基本!$C$9,IF(K10 = "魅力",基本!$C$10,""))))))</f>
        <v>6</v>
      </c>
      <c r="N10" s="328" t="s">
        <v>52</v>
      </c>
      <c r="O10" s="332" t="s">
        <v>12</v>
      </c>
      <c r="P10" s="88">
        <f>IF(O10 = "筋力",基本!$C$5,IF(O10 = "耐久力",基本!$C$6,IF(O10 = "敏捷力",基本!$C$7,IF(O10 = "知力",基本!$C$8,IF(O10 = "判断力",基本!$C$9,IF(O10 = "魅力",基本!$C$10,""))))))</f>
        <v>6</v>
      </c>
      <c r="Q10" s="332" t="s">
        <v>16</v>
      </c>
      <c r="R10" s="88">
        <f>IF(Q10 = "筋力",基本!$C$5,IF(Q10 = "耐久力",基本!$C$6,IF(Q10 = "敏捷力",基本!$C$7,IF(Q10 = "知力",基本!$C$8,IF(Q10 = "判断力",基本!$C$9,IF(Q10 = "魅力",基本!$C$10,""))))))</f>
        <v>6</v>
      </c>
    </row>
    <row r="11" spans="1:19" ht="14.25" customHeight="1">
      <c r="A11" s="71" t="s">
        <v>9</v>
      </c>
      <c r="B11" s="474" t="s">
        <v>273</v>
      </c>
      <c r="C11" s="475"/>
      <c r="D11" s="475"/>
      <c r="E11" s="475"/>
      <c r="F11" s="475"/>
      <c r="G11" s="476"/>
      <c r="H11" s="330" t="s">
        <v>59</v>
      </c>
      <c r="I11" s="332">
        <v>0</v>
      </c>
      <c r="J11" s="394" t="s">
        <v>54</v>
      </c>
      <c r="K11" s="396"/>
      <c r="L11" s="331">
        <f>IF($I$7=基本!$F$4,基本!$P$9,IF($I$7=基本!$F$13,基本!$P$18,IF($I$7=基本!$F$22,基本!$P$27,IF($I$7=基本!$F$31,基本!$P$36,IF($I$7=基本!$F$40,基本!$P$45,0)))))</f>
        <v>6</v>
      </c>
      <c r="N11" s="330" t="s">
        <v>59</v>
      </c>
      <c r="O11" s="332">
        <v>0</v>
      </c>
      <c r="P11" s="394" t="s">
        <v>643</v>
      </c>
      <c r="Q11" s="396"/>
      <c r="R11" s="331">
        <f>IF($O$7=基本!$F$4,基本!$P$9,IF($O$7=基本!$F$13,基本!$P$18,IF($O$7=基本!$F$22,基本!$P$27,IF($O$7=基本!$F$31,基本!$P$36,IF($O$7=基本!$F$40,基本!$P$45,0)))))</f>
        <v>6</v>
      </c>
    </row>
    <row r="12" spans="1:19">
      <c r="A12" s="71"/>
      <c r="B12" s="505" t="s">
        <v>274</v>
      </c>
      <c r="C12" s="506"/>
      <c r="D12" s="506"/>
      <c r="E12" s="506"/>
      <c r="F12" s="506"/>
      <c r="G12" s="507"/>
      <c r="H12" s="329" t="s">
        <v>319</v>
      </c>
      <c r="I12" s="332">
        <v>1</v>
      </c>
      <c r="J12" s="120"/>
      <c r="K12" s="120"/>
      <c r="L12" s="176" t="s">
        <v>318</v>
      </c>
      <c r="M12" s="334" t="s">
        <v>60</v>
      </c>
      <c r="N12" s="329" t="s">
        <v>319</v>
      </c>
      <c r="O12" s="332">
        <v>1</v>
      </c>
      <c r="R12" s="176" t="s">
        <v>318</v>
      </c>
      <c r="S12" s="334" t="s">
        <v>60</v>
      </c>
    </row>
    <row r="13" spans="1:19" ht="14.25" customHeight="1">
      <c r="A13" s="71"/>
      <c r="B13" s="505" t="s">
        <v>176</v>
      </c>
      <c r="C13" s="506"/>
      <c r="D13" s="506"/>
      <c r="E13" s="506"/>
      <c r="F13" s="506"/>
      <c r="G13" s="507"/>
      <c r="H13" s="329" t="s">
        <v>86</v>
      </c>
      <c r="I13" s="32">
        <f>IF($I$7=基本!$F$4,基本!$F$9,IF($I$7=基本!$F$13,基本!$F$18,IF($I$7=基本!$F$22,基本!$F$27,IF($I$7=基本!$F$31,基本!$F$36,IF($I$7=基本!$F$40,基本!$F$45,0)))))*$I$12</f>
        <v>1</v>
      </c>
      <c r="J13" s="330" t="s">
        <v>44</v>
      </c>
      <c r="K13" s="32">
        <f>IF($I$7=基本!$F$4,基本!$H$9,IF($I$7=基本!$F$13,基本!$H$18,IF($I$7=基本!$F$22,基本!$H$27,IF($I$7=基本!$F$31,基本!$H$36,IF($I$7=基本!$F$40,基本!$H$45,0)))))</f>
        <v>10</v>
      </c>
      <c r="L13" s="177">
        <f>$J$10+$L$11+$I$11</f>
        <v>12</v>
      </c>
      <c r="M13" s="332"/>
      <c r="N13" s="329" t="s">
        <v>644</v>
      </c>
      <c r="O13" s="42">
        <f>IF($O$7=基本!$F$4,基本!$F$9,IF($O$7=基本!$F$13,基本!$F$18,IF($O$7=基本!$F$22,基本!$F$27,IF($O$7=基本!$F$31,基本!$F$36,IF($O$7=基本!$F$40,基本!$F$45,0)))))*$O$12</f>
        <v>1</v>
      </c>
      <c r="P13" s="330" t="s">
        <v>645</v>
      </c>
      <c r="Q13" s="42">
        <f>IF($O$7=基本!$F$4,基本!$H$9,IF($O$7=基本!$F$13,基本!$H$18,IF($O$7=基本!$F$22,基本!$H$27,IF($O$7=基本!$F$31,基本!$H$36,IF($O$7=基本!$F$40,基本!$H$45,0)))))</f>
        <v>6</v>
      </c>
      <c r="R13" s="177">
        <f>$P$10+$O$11+$R$11</f>
        <v>12</v>
      </c>
      <c r="S13" s="332"/>
    </row>
    <row r="14" spans="1:19" ht="15" customHeight="1">
      <c r="A14" s="92"/>
      <c r="B14" s="477" t="s">
        <v>177</v>
      </c>
      <c r="C14" s="478"/>
      <c r="D14" s="478"/>
      <c r="E14" s="478"/>
      <c r="F14" s="478"/>
      <c r="G14" s="479"/>
      <c r="H14" s="330" t="s">
        <v>50</v>
      </c>
      <c r="I14" s="32">
        <f>IF($I$7=基本!$F$4,基本!$L$11,IF($I$7=基本!$F$13,基本!$L$20,IF($I$7=基本!$F$22,基本!$L$29,IF($I$7=基本!$F$31,基本!$L$38,IF($I$7=基本!$F$40,基本!$L$47,0)))))</f>
        <v>4</v>
      </c>
      <c r="J14" s="330" t="s">
        <v>44</v>
      </c>
      <c r="K14" s="32">
        <f>IF($I$7=基本!$F$4,基本!$N$11,IF($I$7=基本!$F$13,基本!$N$20,IF($I$7=基本!$F$22,基本!$N$29,IF($I$7=基本!$F$31,基本!$N$38,IF($I$7=基本!$F$40,基本!$N$47,0)))))</f>
        <v>8</v>
      </c>
      <c r="L14" s="177">
        <f>$J$10+$L$11+$I$11+($I$13*$K$13)</f>
        <v>22</v>
      </c>
      <c r="M14" s="332"/>
      <c r="N14" s="330" t="s">
        <v>50</v>
      </c>
      <c r="O14" s="42">
        <f>IF($O$7=基本!$F$4,基本!$L$11,IF($O$7=基本!$F$13,基本!$L$20,IF($O$7=基本!$F$22,基本!$L$29,IF($O$7=基本!$F$31,基本!$L$38,IF($O$7=基本!$F$40,基本!$L$47,0)))))</f>
        <v>4</v>
      </c>
      <c r="P14" s="330" t="s">
        <v>645</v>
      </c>
      <c r="Q14" s="42">
        <f>IF($O$7=基本!$F$4,基本!$N$11,IF($O$7=基本!$F$13,基本!$N$20,IF($O$7=基本!$F$22,基本!$N$29,IF($O$7=基本!$F$31,基本!$N$38,IF($O$7=基本!$F$40,基本!$N$47,0)))))</f>
        <v>6</v>
      </c>
      <c r="R14" s="177">
        <f>$P$10+$R$11+$O$11+($O$13*$Q$13)</f>
        <v>18</v>
      </c>
      <c r="S14" s="332"/>
    </row>
    <row r="15" spans="1:19" ht="14.25" customHeight="1">
      <c r="A15" s="71"/>
      <c r="B15" s="505" t="s">
        <v>291</v>
      </c>
      <c r="C15" s="506"/>
      <c r="D15" s="506"/>
      <c r="E15" s="506"/>
      <c r="F15" s="506"/>
      <c r="G15" s="507"/>
      <c r="H15" s="120"/>
      <c r="I15" s="120"/>
      <c r="J15" s="120"/>
      <c r="K15" s="120"/>
    </row>
    <row r="16" spans="1:19" ht="24.75" customHeight="1">
      <c r="A16" s="71"/>
      <c r="B16" s="570" t="str">
        <f>"攻撃前に "&amp; $L$10 &amp;" マスシフト可能！"</f>
        <v>攻撃前に 6 マスシフト可能！</v>
      </c>
      <c r="C16" s="571"/>
      <c r="D16" s="571"/>
      <c r="E16" s="571"/>
      <c r="F16" s="571"/>
      <c r="G16" s="572"/>
      <c r="H16" s="120"/>
      <c r="I16" s="120"/>
      <c r="J16" s="120"/>
      <c r="K16" s="120"/>
    </row>
    <row r="17" spans="1:11" ht="7.5" customHeight="1">
      <c r="A17" s="72"/>
      <c r="B17" s="452"/>
      <c r="C17" s="453"/>
      <c r="D17" s="453"/>
      <c r="E17" s="453"/>
      <c r="F17" s="453"/>
      <c r="G17" s="454"/>
      <c r="H17" s="120"/>
      <c r="I17" s="120"/>
      <c r="J17" s="120"/>
      <c r="K17" s="120"/>
    </row>
    <row r="18" spans="1:11" ht="14.25" thickBot="1">
      <c r="A18" s="113" t="s">
        <v>47</v>
      </c>
      <c r="E18" s="80"/>
      <c r="H18" s="120"/>
      <c r="I18" s="120"/>
      <c r="J18" s="120"/>
      <c r="K18" s="120"/>
    </row>
    <row r="19" spans="1:11" ht="15" customHeight="1">
      <c r="A19" s="544" t="str">
        <f>$B$2</f>
        <v>ウォーデンズ・フューリィ</v>
      </c>
      <c r="B19" s="545"/>
      <c r="C19" s="546"/>
      <c r="D19" s="550" t="s">
        <v>2</v>
      </c>
      <c r="E19" s="551"/>
      <c r="F19" s="552" t="s">
        <v>525</v>
      </c>
      <c r="G19" s="553"/>
      <c r="H19" s="120"/>
      <c r="I19" s="120"/>
      <c r="J19" s="120"/>
      <c r="K19" s="120"/>
    </row>
    <row r="20" spans="1:11" ht="18.75" customHeight="1" thickBot="1">
      <c r="A20" s="547"/>
      <c r="B20" s="548"/>
      <c r="C20" s="549"/>
      <c r="D20" s="190" t="s">
        <v>2</v>
      </c>
      <c r="E20" s="191" t="s">
        <v>1</v>
      </c>
      <c r="F20" s="190" t="s">
        <v>2</v>
      </c>
      <c r="G20" s="343" t="s">
        <v>1</v>
      </c>
      <c r="H20" s="120"/>
      <c r="I20" s="120"/>
      <c r="J20" s="120"/>
      <c r="K20" s="120"/>
    </row>
    <row r="21" spans="1:11" ht="21" customHeight="1">
      <c r="A21" s="540" t="s">
        <v>42</v>
      </c>
      <c r="B21" s="186" t="s">
        <v>117</v>
      </c>
      <c r="C21" s="542" t="str">
        <f>$K$8</f>
        <v>頑健</v>
      </c>
      <c r="D21" s="185" t="str">
        <f>$L$8 &amp; "+1d20"</f>
        <v>22+1d20</v>
      </c>
      <c r="E21" s="198" t="str">
        <f>$L$8+2 &amp; "+1d20"</f>
        <v>24+1d20</v>
      </c>
      <c r="F21" s="185" t="str">
        <f>$R$8 &amp; "+1d20"</f>
        <v>22+1d20</v>
      </c>
      <c r="G21" s="344" t="str">
        <f>$R$8+2 &amp; "+1d20"</f>
        <v>24+1d20</v>
      </c>
      <c r="H21" s="120"/>
      <c r="I21" s="120"/>
      <c r="J21" s="120"/>
      <c r="K21" s="120"/>
    </row>
    <row r="22" spans="1:11" ht="24" customHeight="1" thickBot="1">
      <c r="A22" s="541"/>
      <c r="B22" s="345" t="s">
        <v>668</v>
      </c>
      <c r="C22" s="543"/>
      <c r="D22" s="199" t="str">
        <f>3+$L$8 &amp; "+1d20"</f>
        <v>25+1d20</v>
      </c>
      <c r="E22" s="346" t="str">
        <f>3+$L$8+2 &amp; "+1d20"</f>
        <v>27+1d20</v>
      </c>
      <c r="F22" s="199" t="str">
        <f>3+$R$8 &amp; "+1d20"</f>
        <v>25+1d20</v>
      </c>
      <c r="G22" s="200" t="str">
        <f>3+$R$8+2 &amp; "+1d20"</f>
        <v>27+1d20</v>
      </c>
      <c r="H22" s="120"/>
      <c r="I22" s="120"/>
      <c r="J22" s="120"/>
      <c r="K22" s="120"/>
    </row>
    <row r="23" spans="1:11" ht="23.25" customHeight="1">
      <c r="A23" s="470" t="s">
        <v>360</v>
      </c>
      <c r="B23" s="137" t="s">
        <v>361</v>
      </c>
      <c r="C23" s="335" t="str">
        <f>IF($M$13 = 0,"", $M$13)</f>
        <v/>
      </c>
      <c r="D23" s="56" t="str">
        <f>-2+$L$13 &amp; "+" &amp; $I$13 &amp; "d" &amp; $K$13</f>
        <v>10+1d10</v>
      </c>
      <c r="E23" s="56" t="str">
        <f>-2+$L$13 &amp; "+" &amp; $I$13 &amp; "d" &amp; $K$13</f>
        <v>10+1d10</v>
      </c>
      <c r="F23" s="56" t="str">
        <f>-2+$R$13 &amp; "+" &amp; $O$13 &amp; "d" &amp; $Q$13</f>
        <v>10+1d6</v>
      </c>
      <c r="G23" s="57" t="str">
        <f>-2+$R$13 &amp; "+" &amp; $O$13 &amp; "d" &amp; $Q$13</f>
        <v>10+1d6</v>
      </c>
      <c r="H23" s="120"/>
      <c r="I23" s="120"/>
      <c r="J23" s="120"/>
      <c r="K23" s="120"/>
    </row>
    <row r="24" spans="1:11" ht="23.25" customHeight="1" thickBot="1">
      <c r="A24" s="471"/>
      <c r="B24" s="148" t="s">
        <v>362</v>
      </c>
      <c r="C24" s="347" t="str">
        <f>IF($M$14 = 0,"", $M$14)</f>
        <v/>
      </c>
      <c r="D24" s="150" t="str">
        <f>-2+$L$14 &amp; IF($I$14 =0,"","＆別の敵へ" &amp; $I$14 &amp; "d" &amp; $K$14)</f>
        <v>20＆別の敵へ4d8</v>
      </c>
      <c r="E24" s="150" t="str">
        <f t="shared" ref="E24" si="0">-2+$L$14 &amp; IF($I$14 =0,"","＆別の敵へ" &amp; $I$14 &amp; "d" &amp; $K$14)</f>
        <v>20＆別の敵へ4d8</v>
      </c>
      <c r="F24" s="150" t="str">
        <f>-2+$R$14 &amp; IF($O$14 = 0,"","+" &amp; $O$14 &amp; "d" &amp; $Q$14)</f>
        <v>16+4d6</v>
      </c>
      <c r="G24" s="305" t="str">
        <f>-2+$R$14 &amp; IF($O$14 = 0,"","+" &amp; $O$14 &amp; "d" &amp; $Q$14)</f>
        <v>16+4d6</v>
      </c>
      <c r="H24" s="120"/>
      <c r="I24" s="120"/>
      <c r="J24" s="120"/>
      <c r="K24" s="120"/>
    </row>
    <row r="25" spans="1:11" ht="23.25" customHeight="1">
      <c r="A25" s="455" t="s">
        <v>136</v>
      </c>
      <c r="B25" s="137" t="s">
        <v>361</v>
      </c>
      <c r="C25" s="335" t="str">
        <f>IF($M$13 = 0,"", $M$13)</f>
        <v/>
      </c>
      <c r="D25" s="56" t="str">
        <f>$L$13 &amp; "+" &amp; $I$13 &amp; "d" &amp; $K$13</f>
        <v>12+1d10</v>
      </c>
      <c r="E25" s="56" t="str">
        <f>$L$13 &amp; "+" &amp; $I$13 &amp; "d" &amp; $K$13</f>
        <v>12+1d10</v>
      </c>
      <c r="F25" s="56" t="str">
        <f>$R$13 &amp; "+" &amp; $O$13 &amp; "d" &amp; $Q$13</f>
        <v>12+1d6</v>
      </c>
      <c r="G25" s="57" t="str">
        <f>$R$13 &amp; "+" &amp; $O$13 &amp; "d" &amp; $Q$13</f>
        <v>12+1d6</v>
      </c>
      <c r="H25" s="120"/>
      <c r="I25" s="120"/>
      <c r="J25" s="120"/>
      <c r="K25" s="120"/>
    </row>
    <row r="26" spans="1:11" ht="23.25" customHeight="1" thickBot="1">
      <c r="A26" s="557"/>
      <c r="B26" s="148" t="s">
        <v>362</v>
      </c>
      <c r="C26" s="347" t="str">
        <f>IF($M$14 = 0,"", $M$14)</f>
        <v/>
      </c>
      <c r="D26" s="333" t="str">
        <f>$L$14 &amp; IF($I$14 =0,"","＆別の敵へ" &amp; $I$14 &amp; "d" &amp; $K$14)</f>
        <v>22＆別の敵へ4d8</v>
      </c>
      <c r="E26" s="333" t="str">
        <f t="shared" ref="E26" si="1">$L$14 &amp; IF($I$14 =0,"","＆別の敵へ" &amp; $I$14 &amp; "d" &amp; $K$14)</f>
        <v>22＆別の敵へ4d8</v>
      </c>
      <c r="F26" s="333" t="str">
        <f>$R$14 &amp; IF($O$14 = 0,"","+" &amp; $O$14 &amp; "d" &amp; $Q$14)</f>
        <v>18+4d6</v>
      </c>
      <c r="G26" s="305" t="str">
        <f>$R$14 &amp; IF($O$14 = 0,"","+" &amp; $O$14 &amp; "d" &amp; $Q$14)</f>
        <v>18+4d6</v>
      </c>
      <c r="H26" s="120"/>
      <c r="I26" s="120"/>
      <c r="J26" s="120"/>
      <c r="K26" s="120"/>
    </row>
    <row r="27" spans="1:11" ht="8.25" customHeight="1">
      <c r="A27" s="472"/>
      <c r="B27" s="472"/>
      <c r="C27" s="472"/>
      <c r="D27" s="472"/>
      <c r="E27" s="472"/>
      <c r="F27" s="472"/>
      <c r="G27" s="472"/>
    </row>
    <row r="28" spans="1:11" ht="15" customHeight="1">
      <c r="A28" s="457" t="s">
        <v>676</v>
      </c>
      <c r="B28" s="457"/>
      <c r="C28" s="457"/>
      <c r="D28" s="457"/>
      <c r="E28" s="457"/>
      <c r="F28" s="457"/>
      <c r="G28" s="457"/>
      <c r="H28" s="120"/>
      <c r="I28" s="120"/>
      <c r="J28" s="120"/>
      <c r="K28" s="120"/>
    </row>
    <row r="29" spans="1:11" ht="13.5" customHeight="1">
      <c r="A29" s="458" t="s">
        <v>677</v>
      </c>
      <c r="B29" s="458"/>
      <c r="C29" s="458"/>
      <c r="D29" s="458"/>
      <c r="E29" s="458"/>
      <c r="F29" s="458"/>
      <c r="G29" s="458"/>
    </row>
    <row r="30" spans="1:11" ht="15" customHeight="1">
      <c r="A30" s="457" t="s">
        <v>263</v>
      </c>
      <c r="B30" s="457"/>
      <c r="C30" s="457"/>
      <c r="D30" s="457"/>
      <c r="E30" s="457"/>
      <c r="F30" s="457"/>
      <c r="G30" s="457"/>
      <c r="I30" s="120"/>
      <c r="J30" s="120"/>
      <c r="K30" s="120"/>
    </row>
    <row r="31" spans="1:11" ht="13.5" customHeight="1">
      <c r="A31" s="458" t="s">
        <v>264</v>
      </c>
      <c r="B31" s="458"/>
      <c r="C31" s="458"/>
      <c r="D31" s="458"/>
      <c r="E31" s="458"/>
      <c r="F31" s="458"/>
      <c r="G31" s="458"/>
    </row>
    <row r="32" spans="1:11" ht="13.5" customHeight="1">
      <c r="A32" s="458" t="s">
        <v>265</v>
      </c>
      <c r="B32" s="458"/>
      <c r="C32" s="458"/>
      <c r="D32" s="458"/>
      <c r="E32" s="458"/>
      <c r="F32" s="458"/>
      <c r="G32" s="458"/>
    </row>
    <row r="33" spans="1:12" ht="15" customHeight="1">
      <c r="A33" s="457" t="s">
        <v>532</v>
      </c>
      <c r="B33" s="457"/>
      <c r="C33" s="457"/>
      <c r="D33" s="457"/>
      <c r="E33" s="457"/>
      <c r="F33" s="457"/>
      <c r="G33" s="457"/>
      <c r="I33" s="120"/>
      <c r="J33" s="120"/>
      <c r="K33" s="120"/>
    </row>
    <row r="34" spans="1:12" ht="13.5" customHeight="1">
      <c r="A34" s="458" t="s">
        <v>533</v>
      </c>
      <c r="B34" s="458"/>
      <c r="C34" s="458"/>
      <c r="D34" s="458"/>
      <c r="E34" s="458"/>
      <c r="F34" s="458"/>
      <c r="G34" s="458"/>
    </row>
    <row r="35" spans="1:12" ht="13.5" customHeight="1">
      <c r="A35" s="458" t="s">
        <v>534</v>
      </c>
      <c r="B35" s="458"/>
      <c r="C35" s="458"/>
      <c r="D35" s="458"/>
      <c r="E35" s="458"/>
      <c r="F35" s="458"/>
      <c r="G35" s="458"/>
    </row>
    <row r="36" spans="1:12" ht="15" customHeight="1">
      <c r="A36" s="457" t="s">
        <v>674</v>
      </c>
      <c r="B36" s="457"/>
      <c r="C36" s="457"/>
      <c r="D36" s="457"/>
      <c r="E36" s="457"/>
      <c r="F36" s="457"/>
      <c r="G36" s="457"/>
      <c r="I36" s="120"/>
      <c r="J36" s="120"/>
      <c r="K36" s="120"/>
    </row>
    <row r="37" spans="1:12" ht="13.5" customHeight="1">
      <c r="A37" s="458" t="s">
        <v>289</v>
      </c>
      <c r="B37" s="458"/>
      <c r="C37" s="458"/>
      <c r="D37" s="458"/>
      <c r="E37" s="458"/>
      <c r="F37" s="458"/>
      <c r="G37" s="458"/>
    </row>
    <row r="38" spans="1:12" ht="13.5" customHeight="1">
      <c r="A38" s="458" t="s">
        <v>290</v>
      </c>
      <c r="B38" s="458"/>
      <c r="C38" s="458"/>
      <c r="D38" s="458"/>
      <c r="E38" s="458"/>
      <c r="F38" s="458"/>
      <c r="G38" s="458"/>
    </row>
    <row r="39" spans="1:12" ht="8.25" customHeight="1">
      <c r="A39" s="453"/>
      <c r="B39" s="453"/>
      <c r="C39" s="453"/>
      <c r="D39" s="453"/>
      <c r="E39" s="453"/>
      <c r="F39" s="453"/>
      <c r="G39" s="453"/>
    </row>
    <row r="40" spans="1:12">
      <c r="A40" s="531" t="s">
        <v>49</v>
      </c>
      <c r="B40" s="532"/>
      <c r="C40" s="532"/>
      <c r="D40" s="532"/>
      <c r="E40" s="532"/>
      <c r="F40" s="532"/>
      <c r="G40" s="533"/>
    </row>
    <row r="41" spans="1:12" s="79" customFormat="1" ht="15.75" customHeight="1">
      <c r="A41" s="477" t="s">
        <v>234</v>
      </c>
      <c r="B41" s="478"/>
      <c r="C41" s="478"/>
      <c r="D41" s="478"/>
      <c r="E41" s="478"/>
      <c r="F41" s="478"/>
      <c r="G41" s="479"/>
      <c r="L41" s="120"/>
    </row>
    <row r="42" spans="1:12" s="79" customFormat="1" ht="8.25" customHeight="1">
      <c r="A42" s="526"/>
      <c r="B42" s="527"/>
      <c r="C42" s="527"/>
      <c r="D42" s="527"/>
      <c r="E42" s="527"/>
      <c r="F42" s="527"/>
      <c r="G42" s="528"/>
      <c r="L42" s="120"/>
    </row>
    <row r="43" spans="1:12" s="99" customFormat="1" ht="13.5" customHeight="1">
      <c r="A43" s="505" t="s">
        <v>683</v>
      </c>
      <c r="B43" s="506"/>
      <c r="C43" s="506"/>
      <c r="D43" s="506"/>
      <c r="E43" s="506"/>
      <c r="F43" s="506"/>
      <c r="G43" s="507"/>
      <c r="L43" s="100"/>
    </row>
    <row r="44" spans="1:12" s="79" customFormat="1" ht="7.5" customHeight="1">
      <c r="A44" s="505"/>
      <c r="B44" s="506"/>
      <c r="C44" s="506"/>
      <c r="D44" s="506"/>
      <c r="E44" s="506"/>
      <c r="F44" s="506"/>
      <c r="G44" s="507"/>
      <c r="L44" s="120"/>
    </row>
    <row r="45" spans="1:12" s="79" customFormat="1" ht="13.5" customHeight="1">
      <c r="A45" s="526" t="s">
        <v>235</v>
      </c>
      <c r="B45" s="527"/>
      <c r="C45" s="527"/>
      <c r="D45" s="527"/>
      <c r="E45" s="527"/>
      <c r="F45" s="527"/>
      <c r="G45" s="528"/>
      <c r="L45" s="120"/>
    </row>
    <row r="46" spans="1:12" s="79" customFormat="1" ht="13.5" customHeight="1">
      <c r="A46" s="523" t="s">
        <v>239</v>
      </c>
      <c r="B46" s="524"/>
      <c r="C46" s="524"/>
      <c r="D46" s="524"/>
      <c r="E46" s="524"/>
      <c r="F46" s="524"/>
      <c r="G46" s="525"/>
      <c r="L46" s="120"/>
    </row>
    <row r="47" spans="1:12" s="79" customFormat="1" ht="13.5" customHeight="1">
      <c r="A47" s="523" t="s">
        <v>303</v>
      </c>
      <c r="B47" s="524"/>
      <c r="C47" s="524"/>
      <c r="D47" s="524"/>
      <c r="E47" s="524"/>
      <c r="F47" s="524"/>
      <c r="G47" s="525"/>
      <c r="L47" s="120"/>
    </row>
    <row r="48" spans="1:12" s="79" customFormat="1" ht="13.5" customHeight="1">
      <c r="A48" s="523" t="s">
        <v>236</v>
      </c>
      <c r="B48" s="524"/>
      <c r="C48" s="524"/>
      <c r="D48" s="524"/>
      <c r="E48" s="524"/>
      <c r="F48" s="524"/>
      <c r="G48" s="525"/>
      <c r="L48" s="120"/>
    </row>
    <row r="49" spans="1:12" s="79" customFormat="1" ht="13.5" customHeight="1">
      <c r="A49" s="523" t="s">
        <v>383</v>
      </c>
      <c r="B49" s="524"/>
      <c r="C49" s="524"/>
      <c r="D49" s="524"/>
      <c r="E49" s="524"/>
      <c r="F49" s="524"/>
      <c r="G49" s="525"/>
      <c r="L49" s="120"/>
    </row>
    <row r="50" spans="1:12" s="79" customFormat="1" ht="13.5" customHeight="1">
      <c r="A50" s="523" t="s">
        <v>237</v>
      </c>
      <c r="B50" s="524"/>
      <c r="C50" s="524"/>
      <c r="D50" s="524"/>
      <c r="E50" s="524"/>
      <c r="F50" s="524"/>
      <c r="G50" s="525"/>
      <c r="L50" s="120"/>
    </row>
    <row r="51" spans="1:12" s="79" customFormat="1" ht="13.5" customHeight="1">
      <c r="A51" s="523" t="s">
        <v>238</v>
      </c>
      <c r="B51" s="524"/>
      <c r="C51" s="524"/>
      <c r="D51" s="524"/>
      <c r="E51" s="524"/>
      <c r="F51" s="524"/>
      <c r="G51" s="525"/>
      <c r="L51" s="120"/>
    </row>
    <row r="52" spans="1:12" s="79" customFormat="1" ht="13.5" customHeight="1">
      <c r="A52" s="523" t="s">
        <v>240</v>
      </c>
      <c r="B52" s="524"/>
      <c r="C52" s="524"/>
      <c r="D52" s="524"/>
      <c r="E52" s="524"/>
      <c r="F52" s="524"/>
      <c r="G52" s="525"/>
      <c r="L52" s="120"/>
    </row>
    <row r="53" spans="1:12" s="79" customFormat="1" ht="13.5" customHeight="1">
      <c r="A53" s="523" t="s">
        <v>241</v>
      </c>
      <c r="B53" s="524"/>
      <c r="C53" s="524"/>
      <c r="D53" s="524"/>
      <c r="E53" s="524"/>
      <c r="F53" s="524"/>
      <c r="G53" s="525"/>
      <c r="L53" s="120"/>
    </row>
    <row r="54" spans="1:12" s="79" customFormat="1" ht="7.5" customHeight="1">
      <c r="A54" s="523"/>
      <c r="B54" s="524"/>
      <c r="C54" s="524"/>
      <c r="D54" s="524"/>
      <c r="E54" s="524"/>
      <c r="F54" s="524"/>
      <c r="G54" s="525"/>
      <c r="L54" s="120"/>
    </row>
    <row r="55" spans="1:12" s="79" customFormat="1" ht="21">
      <c r="A55" s="612" t="str">
        <f>$B$1</f>
        <v>クラス特徴</v>
      </c>
      <c r="B55" s="613"/>
      <c r="C55" s="86" t="s">
        <v>40</v>
      </c>
      <c r="D55" s="87" t="str">
        <f>$E$1</f>
        <v>無限回</v>
      </c>
      <c r="E55" s="465" t="str">
        <f>$B$2</f>
        <v>ウォーデンズ・フューリィ</v>
      </c>
      <c r="F55" s="466"/>
      <c r="G55" s="467"/>
      <c r="L55" s="120"/>
    </row>
  </sheetData>
  <mergeCells count="60">
    <mergeCell ref="A44:G44"/>
    <mergeCell ref="A46:G46"/>
    <mergeCell ref="A39:G39"/>
    <mergeCell ref="A27:G27"/>
    <mergeCell ref="A40:G40"/>
    <mergeCell ref="A36:G36"/>
    <mergeCell ref="A37:G37"/>
    <mergeCell ref="A33:G33"/>
    <mergeCell ref="A34:G34"/>
    <mergeCell ref="A35:G35"/>
    <mergeCell ref="A28:G28"/>
    <mergeCell ref="A29:G29"/>
    <mergeCell ref="J11:K11"/>
    <mergeCell ref="B14:G14"/>
    <mergeCell ref="B16:G16"/>
    <mergeCell ref="A55:B55"/>
    <mergeCell ref="A38:G38"/>
    <mergeCell ref="A30:G30"/>
    <mergeCell ref="A31:G31"/>
    <mergeCell ref="A32:G32"/>
    <mergeCell ref="A42:G42"/>
    <mergeCell ref="A41:G41"/>
    <mergeCell ref="A45:G45"/>
    <mergeCell ref="A47:G47"/>
    <mergeCell ref="A43:G43"/>
    <mergeCell ref="A48:G48"/>
    <mergeCell ref="A49:G49"/>
    <mergeCell ref="A50:G50"/>
    <mergeCell ref="B1:C1"/>
    <mergeCell ref="F1:G1"/>
    <mergeCell ref="B2:G2"/>
    <mergeCell ref="B4:G4"/>
    <mergeCell ref="B5:G5"/>
    <mergeCell ref="A21:A22"/>
    <mergeCell ref="C21:C22"/>
    <mergeCell ref="A23:A24"/>
    <mergeCell ref="A25:A26"/>
    <mergeCell ref="B11:G11"/>
    <mergeCell ref="B15:G15"/>
    <mergeCell ref="E55:G55"/>
    <mergeCell ref="A51:G51"/>
    <mergeCell ref="A52:G52"/>
    <mergeCell ref="A53:G53"/>
    <mergeCell ref="A54:G54"/>
    <mergeCell ref="H4:M4"/>
    <mergeCell ref="N4:S4"/>
    <mergeCell ref="P9:Q9"/>
    <mergeCell ref="P11:Q11"/>
    <mergeCell ref="A19:C20"/>
    <mergeCell ref="D19:E19"/>
    <mergeCell ref="F19:G19"/>
    <mergeCell ref="B6:D6"/>
    <mergeCell ref="B17:G17"/>
    <mergeCell ref="B7:D7"/>
    <mergeCell ref="B8:G8"/>
    <mergeCell ref="B9:G9"/>
    <mergeCell ref="B10:G10"/>
    <mergeCell ref="B12:G12"/>
    <mergeCell ref="B13:G13"/>
    <mergeCell ref="J9:K9"/>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基本!$A$5:$A$10</xm:f>
          </x14:formula1>
          <xm:sqref>I8 I10 K16</xm:sqref>
        </x14:dataValidation>
        <x14:dataValidation type="list" allowBlank="1" showInputMessage="1" showErrorMessage="1">
          <x14:formula1>
            <xm:f>基本!$D$27:$D$31</xm:f>
          </x14:formula1>
          <xm:sqref>I7</xm:sqref>
        </x14:dataValidation>
        <x14:dataValidation type="list" allowBlank="1" showInputMessage="1" showErrorMessage="1">
          <x14:formula1>
            <xm:f>基本!$A$16:$A$19</xm:f>
          </x14:formula1>
          <xm:sqref>K8</xm:sqref>
        </x14:dataValidation>
        <x14:dataValidation type="list" allowBlank="1" showInputMessage="1" showErrorMessage="1">
          <x14:formula1>
            <xm:f>基本!$C$27:$C$37</xm:f>
          </x14:formula1>
          <xm:sqref>I16</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61D02"/>
  </sheetPr>
  <dimension ref="A1:M58"/>
  <sheetViews>
    <sheetView topLeftCell="A24" zoomScaleNormal="100" workbookViewId="0">
      <selection activeCell="A30" sqref="A30:G30"/>
    </sheetView>
  </sheetViews>
  <sheetFormatPr defaultRowHeight="13.5"/>
  <cols>
    <col min="1" max="1" width="7.875" style="120" customWidth="1"/>
    <col min="2" max="2" width="8.5" style="120" customWidth="1"/>
    <col min="3" max="3" width="6.625" style="120" customWidth="1"/>
    <col min="4" max="4" width="15.75" style="120" customWidth="1"/>
    <col min="5" max="6" width="15.75" style="79" customWidth="1"/>
    <col min="7" max="7" width="18.25" style="79" customWidth="1"/>
    <col min="8" max="8" width="17.375" style="79" customWidth="1"/>
    <col min="9" max="9" width="14.625" style="79" customWidth="1"/>
    <col min="10" max="10" width="8.375" style="79" customWidth="1"/>
    <col min="11" max="11" width="7.5" style="79" customWidth="1"/>
    <col min="12" max="12" width="7.875" style="120" customWidth="1"/>
    <col min="13" max="13" width="9.25" style="120" customWidth="1"/>
    <col min="14" max="14" width="12.375" style="120" customWidth="1"/>
    <col min="15" max="16384" width="9" style="120"/>
  </cols>
  <sheetData>
    <row r="1" spans="1:13" ht="21">
      <c r="A1" s="39"/>
      <c r="B1" s="573" t="s">
        <v>180</v>
      </c>
      <c r="C1" s="574"/>
      <c r="D1" s="40" t="s">
        <v>40</v>
      </c>
      <c r="E1" s="41" t="s">
        <v>57</v>
      </c>
      <c r="F1" s="575"/>
      <c r="G1" s="576"/>
      <c r="H1" s="84" t="s">
        <v>55</v>
      </c>
    </row>
    <row r="2" spans="1:13" ht="24.75" customHeight="1">
      <c r="A2" s="40" t="s">
        <v>0</v>
      </c>
      <c r="B2" s="577" t="s">
        <v>202</v>
      </c>
      <c r="C2" s="577"/>
      <c r="D2" s="577"/>
      <c r="E2" s="577"/>
      <c r="F2" s="577"/>
      <c r="G2" s="577"/>
      <c r="H2" s="84" t="s">
        <v>56</v>
      </c>
    </row>
    <row r="3" spans="1:13" ht="19.5" customHeight="1">
      <c r="A3" s="90" t="s">
        <v>48</v>
      </c>
      <c r="B3" s="79"/>
      <c r="C3" s="79"/>
      <c r="D3" s="79"/>
      <c r="I3" s="84"/>
    </row>
    <row r="4" spans="1:13">
      <c r="A4" s="67" t="s">
        <v>46</v>
      </c>
      <c r="B4" s="480" t="s">
        <v>181</v>
      </c>
      <c r="C4" s="481"/>
      <c r="D4" s="481"/>
      <c r="E4" s="481"/>
      <c r="F4" s="481"/>
      <c r="G4" s="482"/>
      <c r="H4" s="394" t="s">
        <v>321</v>
      </c>
      <c r="I4" s="395"/>
      <c r="J4" s="395"/>
      <c r="K4" s="395"/>
      <c r="L4" s="396"/>
    </row>
    <row r="5" spans="1:13">
      <c r="A5" s="68" t="s">
        <v>39</v>
      </c>
      <c r="B5" s="480" t="s">
        <v>203</v>
      </c>
      <c r="C5" s="481"/>
      <c r="D5" s="481"/>
      <c r="E5" s="481"/>
      <c r="F5" s="481"/>
      <c r="G5" s="482"/>
      <c r="H5" s="142" t="s">
        <v>43</v>
      </c>
      <c r="I5" s="143" t="s">
        <v>88</v>
      </c>
      <c r="J5" s="143"/>
    </row>
    <row r="6" spans="1:13">
      <c r="A6" s="68" t="s">
        <v>7</v>
      </c>
      <c r="B6" s="629" t="s">
        <v>204</v>
      </c>
      <c r="C6" s="630"/>
      <c r="D6" s="631"/>
      <c r="E6" s="142" t="s">
        <v>43</v>
      </c>
      <c r="F6" s="141" t="str">
        <f>$I$5</f>
        <v>使用者</v>
      </c>
      <c r="G6" s="141" t="str">
        <f>IF($J$5 = 0,"", $J$5)</f>
        <v/>
      </c>
      <c r="H6" s="142" t="s">
        <v>66</v>
      </c>
      <c r="I6" s="143"/>
      <c r="J6" s="143"/>
    </row>
    <row r="7" spans="1:13">
      <c r="A7" s="69" t="s">
        <v>6</v>
      </c>
      <c r="B7" s="584"/>
      <c r="C7" s="585"/>
      <c r="D7" s="586"/>
      <c r="E7" s="142" t="s">
        <v>66</v>
      </c>
      <c r="F7" s="141" t="str">
        <f>IF($I$6 = 0,"", $I$6)</f>
        <v/>
      </c>
      <c r="G7" s="141" t="str">
        <f>IF($J$6 = 0,"", $J$6)</f>
        <v/>
      </c>
      <c r="H7" s="142" t="s">
        <v>85</v>
      </c>
      <c r="I7" s="143" t="s">
        <v>116</v>
      </c>
      <c r="J7" s="84" t="s">
        <v>62</v>
      </c>
      <c r="L7" s="176" t="s">
        <v>318</v>
      </c>
    </row>
    <row r="8" spans="1:13" ht="13.5" customHeight="1">
      <c r="A8" s="70" t="s">
        <v>179</v>
      </c>
      <c r="B8" s="480" t="s">
        <v>182</v>
      </c>
      <c r="C8" s="481"/>
      <c r="D8" s="481"/>
      <c r="E8" s="481"/>
      <c r="F8" s="481"/>
      <c r="G8" s="482"/>
      <c r="H8" s="142" t="s">
        <v>51</v>
      </c>
      <c r="I8" s="143" t="s">
        <v>138</v>
      </c>
      <c r="J8" s="141">
        <f>IF($I$8 = "筋力",基本!$C$5,IF($I$8 = "耐久力",基本!$C$6,IF($I$8 = "敏捷力",基本!$C$7,IF($I$8 = "知力",基本!$C$8,IF($I$8 = "判断力",基本!$C$9,IF($I$8 = "筋力",基本!$C$10,""))))))</f>
        <v>6</v>
      </c>
      <c r="K8" s="143" t="s">
        <v>90</v>
      </c>
      <c r="L8" s="177">
        <f>$J$8+$L$9+$I$9</f>
        <v>23</v>
      </c>
    </row>
    <row r="9" spans="1:13" ht="13.5" customHeight="1">
      <c r="A9" s="70" t="s">
        <v>61</v>
      </c>
      <c r="B9" s="567" t="s">
        <v>183</v>
      </c>
      <c r="C9" s="568"/>
      <c r="D9" s="568"/>
      <c r="E9" s="568"/>
      <c r="F9" s="568"/>
      <c r="G9" s="569"/>
      <c r="H9" s="142" t="s">
        <v>58</v>
      </c>
      <c r="I9" s="143">
        <v>1</v>
      </c>
      <c r="J9" s="394" t="s">
        <v>53</v>
      </c>
      <c r="K9" s="396"/>
      <c r="L9" s="141">
        <f>IF($I$7=基本!$F$4,基本!$P$7,IF($I$7=基本!$F$13,基本!$P$16,IF($I$7=基本!$F$22,基本!$P$25,IF($I$7=基本!$F$31,基本!$P$34,IF($I$7=基本!$F$40,基本!$P$43,0)))))</f>
        <v>16</v>
      </c>
    </row>
    <row r="10" spans="1:13" ht="13.5" customHeight="1">
      <c r="A10" s="71"/>
      <c r="B10" s="505" t="s">
        <v>184</v>
      </c>
      <c r="C10" s="506"/>
      <c r="D10" s="506"/>
      <c r="E10" s="506"/>
      <c r="F10" s="506"/>
      <c r="G10" s="507"/>
      <c r="H10" s="144" t="s">
        <v>52</v>
      </c>
      <c r="I10" s="143" t="s">
        <v>138</v>
      </c>
      <c r="J10" s="88">
        <f>IF($I$8 = "筋力",基本!$C$5,IF($I$10 = "耐久力",基本!$C$6,IF($I$10 = "敏捷力",基本!$C$7,IF($I$10 = "知力",基本!$C$8,IF($I$10 = "判断力",基本!$C$9,IF($I$10 = "筋力",基本!$C$10,""))))))</f>
        <v>6</v>
      </c>
      <c r="L10" s="79"/>
    </row>
    <row r="11" spans="1:13" ht="13.5" customHeight="1">
      <c r="A11" s="71"/>
      <c r="B11" s="505" t="s">
        <v>185</v>
      </c>
      <c r="C11" s="506"/>
      <c r="D11" s="506"/>
      <c r="E11" s="506"/>
      <c r="F11" s="506"/>
      <c r="G11" s="507"/>
      <c r="H11" s="142" t="s">
        <v>59</v>
      </c>
      <c r="I11" s="143">
        <v>0</v>
      </c>
      <c r="J11" s="394" t="s">
        <v>54</v>
      </c>
      <c r="K11" s="396"/>
      <c r="L11" s="141">
        <f>IF($I$7=基本!$F$4,基本!$P$9,IF($I$7=基本!$F$13,基本!$P$18,IF($I$7=基本!$F$22,基本!$P$27,IF($I$7=基本!$F$31,基本!$P$36,IF($I$7=基本!$F$40,基本!$P$45,0)))))</f>
        <v>6</v>
      </c>
    </row>
    <row r="12" spans="1:13" ht="7.5" customHeight="1">
      <c r="A12" s="71"/>
      <c r="B12" s="505"/>
      <c r="C12" s="506"/>
      <c r="D12" s="506"/>
      <c r="E12" s="506"/>
      <c r="F12" s="506"/>
      <c r="G12" s="507"/>
      <c r="I12" s="120"/>
      <c r="L12" s="176" t="s">
        <v>318</v>
      </c>
    </row>
    <row r="13" spans="1:13" ht="24" customHeight="1">
      <c r="A13" s="71"/>
      <c r="B13" s="632" t="s">
        <v>363</v>
      </c>
      <c r="C13" s="633"/>
      <c r="D13" s="633"/>
      <c r="E13" s="633"/>
      <c r="F13" s="633"/>
      <c r="G13" s="634"/>
      <c r="H13" s="180" t="s">
        <v>86</v>
      </c>
      <c r="I13" s="143">
        <v>1</v>
      </c>
      <c r="J13" s="142" t="s">
        <v>44</v>
      </c>
      <c r="K13" s="143">
        <v>10</v>
      </c>
      <c r="L13" s="177">
        <f>$J$10+$L$11+$I$11</f>
        <v>12</v>
      </c>
    </row>
    <row r="14" spans="1:13" ht="4.5" customHeight="1">
      <c r="A14" s="71"/>
      <c r="B14" s="505"/>
      <c r="C14" s="506"/>
      <c r="D14" s="506"/>
      <c r="E14" s="506"/>
      <c r="F14" s="506"/>
      <c r="G14" s="507"/>
      <c r="H14" s="142" t="s">
        <v>50</v>
      </c>
      <c r="I14" s="32">
        <f>IF($I$7=基本!$F$4,基本!$L$11,IF($I$7=基本!$F$13,基本!$L$20,IF($I$7=基本!$F$22,基本!$L$29,IF($I$7=基本!$F$31,基本!$L$38,IF($I$7=基本!$F$40,基本!$L$47,0)))))</f>
        <v>4</v>
      </c>
      <c r="J14" s="180" t="s">
        <v>320</v>
      </c>
      <c r="K14" s="32">
        <f>IF($I$7=基本!$F$4,基本!$N$11,IF($I$7=基本!$F$13,基本!$N$20,IF($I$7=基本!$F$22,基本!$N$29,IF($I$7=基本!$F$31,基本!$N$38,IF($I$7=基本!$F$40,基本!$N$47,0)))))</f>
        <v>8</v>
      </c>
      <c r="L14" s="177">
        <f>$J$10+$L$11+$I$11+($I$13*$K$13)</f>
        <v>22</v>
      </c>
      <c r="M14" s="91"/>
    </row>
    <row r="15" spans="1:13" ht="4.5" customHeight="1">
      <c r="A15" s="72"/>
      <c r="B15" s="578"/>
      <c r="C15" s="503"/>
      <c r="D15" s="503"/>
      <c r="E15" s="503"/>
      <c r="F15" s="503"/>
      <c r="G15" s="504"/>
      <c r="H15" s="142" t="s">
        <v>60</v>
      </c>
      <c r="I15" s="143"/>
      <c r="J15" s="168" t="s">
        <v>315</v>
      </c>
      <c r="K15" s="170" t="s">
        <v>138</v>
      </c>
      <c r="L15" s="178">
        <f>IF($K$15 = "筋力",基本!$C$5,IF($K$15 = "耐久力",基本!$C$6,IF($K$15 = "敏捷力",基本!$C$7,IF($K$15 = "知力",基本!$C$8,IF($K$15 = "判断力",基本!$C$9,IF($K$15 = "魅力",基本!$C$10,""))))))</f>
        <v>6</v>
      </c>
    </row>
    <row r="16" spans="1:13" ht="15.75" customHeight="1">
      <c r="A16" s="457" t="s">
        <v>727</v>
      </c>
      <c r="B16" s="457"/>
      <c r="C16" s="457"/>
      <c r="D16" s="457"/>
      <c r="E16" s="457"/>
      <c r="F16" s="457"/>
      <c r="G16" s="457"/>
      <c r="H16"/>
      <c r="I16"/>
      <c r="J16"/>
      <c r="K16"/>
      <c r="L16"/>
      <c r="M16"/>
    </row>
    <row r="17" spans="1:13" ht="13.5" customHeight="1">
      <c r="A17" s="458" t="s">
        <v>186</v>
      </c>
      <c r="B17" s="458"/>
      <c r="C17" s="458"/>
      <c r="D17" s="458"/>
      <c r="E17" s="458"/>
      <c r="F17" s="458"/>
      <c r="G17" s="458"/>
      <c r="H17"/>
      <c r="I17"/>
      <c r="J17"/>
      <c r="K17"/>
      <c r="L17"/>
      <c r="M17"/>
    </row>
    <row r="18" spans="1:13" ht="13.5" customHeight="1">
      <c r="A18" s="458" t="s">
        <v>187</v>
      </c>
      <c r="B18" s="458"/>
      <c r="C18" s="458"/>
      <c r="D18" s="458"/>
      <c r="E18" s="458"/>
      <c r="F18" s="458"/>
      <c r="G18" s="458"/>
    </row>
    <row r="19" spans="1:13" ht="15.75" customHeight="1">
      <c r="A19" s="457" t="s">
        <v>664</v>
      </c>
      <c r="B19" s="457"/>
      <c r="C19" s="457"/>
      <c r="D19" s="457"/>
      <c r="E19" s="457"/>
      <c r="F19" s="457"/>
      <c r="G19" s="457"/>
      <c r="I19" s="120"/>
      <c r="J19" s="120"/>
      <c r="K19" s="120"/>
    </row>
    <row r="20" spans="1:13" s="348" customFormat="1" ht="13.5" customHeight="1">
      <c r="A20" s="458" t="s">
        <v>725</v>
      </c>
      <c r="B20" s="458"/>
      <c r="C20" s="458"/>
      <c r="D20" s="458"/>
      <c r="E20" s="458"/>
      <c r="F20" s="458"/>
      <c r="G20" s="458"/>
      <c r="H20" s="79"/>
      <c r="I20" s="79"/>
      <c r="J20" s="79"/>
      <c r="K20" s="79"/>
    </row>
    <row r="21" spans="1:13" s="348" customFormat="1" ht="13.5" customHeight="1">
      <c r="A21" s="458" t="s">
        <v>726</v>
      </c>
      <c r="B21" s="458"/>
      <c r="C21" s="458"/>
      <c r="D21" s="458"/>
      <c r="E21" s="458"/>
      <c r="F21" s="458"/>
      <c r="G21" s="458"/>
      <c r="H21" s="79"/>
      <c r="I21" s="79"/>
      <c r="J21" s="79"/>
      <c r="K21" s="79"/>
    </row>
    <row r="22" spans="1:13" ht="15.75" customHeight="1">
      <c r="A22" s="457" t="s">
        <v>734</v>
      </c>
      <c r="B22" s="457"/>
      <c r="C22" s="457"/>
      <c r="D22" s="457"/>
      <c r="E22" s="457"/>
      <c r="F22" s="457"/>
      <c r="G22" s="457"/>
      <c r="I22" s="120"/>
      <c r="J22" s="120"/>
      <c r="K22" s="120"/>
    </row>
    <row r="23" spans="1:13" ht="13.5" customHeight="1">
      <c r="A23" s="458" t="s">
        <v>735</v>
      </c>
      <c r="B23" s="458"/>
      <c r="C23" s="458"/>
      <c r="D23" s="458"/>
      <c r="E23" s="458"/>
      <c r="F23" s="458"/>
      <c r="G23" s="458"/>
    </row>
    <row r="24" spans="1:13" s="348" customFormat="1" ht="15.75" customHeight="1">
      <c r="A24" s="457" t="s">
        <v>675</v>
      </c>
      <c r="B24" s="457"/>
      <c r="C24" s="457"/>
      <c r="D24" s="457"/>
      <c r="E24" s="457"/>
      <c r="F24" s="457"/>
      <c r="G24" s="457"/>
      <c r="H24" s="79"/>
    </row>
    <row r="25" spans="1:13" s="348" customFormat="1" ht="13.5" customHeight="1">
      <c r="A25" s="458" t="s">
        <v>189</v>
      </c>
      <c r="B25" s="458"/>
      <c r="C25" s="458"/>
      <c r="D25" s="458"/>
      <c r="E25" s="458"/>
      <c r="F25" s="458"/>
      <c r="G25" s="458"/>
      <c r="H25" s="79"/>
      <c r="I25" s="79"/>
      <c r="J25" s="79"/>
      <c r="K25" s="79"/>
    </row>
    <row r="26" spans="1:13" s="348" customFormat="1" ht="13.5" customHeight="1">
      <c r="A26" s="458" t="s">
        <v>205</v>
      </c>
      <c r="B26" s="458"/>
      <c r="C26" s="458"/>
      <c r="D26" s="458"/>
      <c r="E26" s="458"/>
      <c r="F26" s="458"/>
      <c r="G26" s="458"/>
      <c r="H26" s="79"/>
      <c r="I26" s="79"/>
      <c r="J26" s="79"/>
      <c r="K26" s="79"/>
    </row>
    <row r="27" spans="1:13">
      <c r="A27" s="598"/>
      <c r="B27" s="598"/>
      <c r="C27" s="598"/>
      <c r="D27" s="598"/>
      <c r="E27" s="598"/>
      <c r="F27" s="598"/>
      <c r="G27" s="598"/>
    </row>
    <row r="28" spans="1:13" ht="13.5" customHeight="1">
      <c r="A28" s="531" t="s">
        <v>49</v>
      </c>
      <c r="B28" s="532"/>
      <c r="C28" s="532"/>
      <c r="D28" s="532"/>
      <c r="E28" s="532"/>
      <c r="F28" s="532"/>
      <c r="G28" s="533"/>
    </row>
    <row r="29" spans="1:13" s="79" customFormat="1" ht="13.5" customHeight="1">
      <c r="A29" s="523"/>
      <c r="B29" s="524"/>
      <c r="C29" s="524"/>
      <c r="D29" s="524"/>
      <c r="E29" s="524"/>
      <c r="F29" s="524"/>
      <c r="G29" s="525"/>
      <c r="L29" s="120"/>
    </row>
    <row r="30" spans="1:13" s="348" customFormat="1" ht="17.25" customHeight="1">
      <c r="A30" s="626" t="s">
        <v>738</v>
      </c>
      <c r="B30" s="627"/>
      <c r="C30" s="627"/>
      <c r="D30" s="627"/>
      <c r="E30" s="627"/>
      <c r="F30" s="627"/>
      <c r="G30" s="628"/>
    </row>
    <row r="31" spans="1:13" s="348" customFormat="1">
      <c r="A31" s="617" t="s">
        <v>731</v>
      </c>
      <c r="B31" s="618"/>
      <c r="C31" s="618"/>
      <c r="D31" s="618"/>
      <c r="E31" s="618"/>
      <c r="F31" s="618"/>
      <c r="G31" s="619"/>
    </row>
    <row r="32" spans="1:13" s="348" customFormat="1">
      <c r="A32" s="620" t="s">
        <v>732</v>
      </c>
      <c r="B32" s="621"/>
      <c r="C32" s="621"/>
      <c r="D32" s="621"/>
      <c r="E32" s="621"/>
      <c r="F32" s="621"/>
      <c r="G32" s="622"/>
    </row>
    <row r="33" spans="1:12" s="348" customFormat="1">
      <c r="A33" s="617" t="s">
        <v>733</v>
      </c>
      <c r="B33" s="618"/>
      <c r="C33" s="618"/>
      <c r="D33" s="618"/>
      <c r="E33" s="618"/>
      <c r="F33" s="618"/>
      <c r="G33" s="619"/>
    </row>
    <row r="34" spans="1:12" s="348" customFormat="1">
      <c r="A34" s="620" t="s">
        <v>745</v>
      </c>
      <c r="B34" s="621"/>
      <c r="C34" s="621"/>
      <c r="D34" s="621"/>
      <c r="E34" s="621"/>
      <c r="F34" s="621"/>
      <c r="G34" s="622"/>
    </row>
    <row r="35" spans="1:12" s="348" customFormat="1">
      <c r="A35" s="623" t="s">
        <v>728</v>
      </c>
      <c r="B35" s="624"/>
      <c r="C35" s="624"/>
      <c r="D35" s="624"/>
      <c r="E35" s="624"/>
      <c r="F35" s="624"/>
      <c r="G35" s="625"/>
    </row>
    <row r="36" spans="1:12" s="348" customFormat="1">
      <c r="A36" s="614" t="s">
        <v>746</v>
      </c>
      <c r="B36" s="615"/>
      <c r="C36" s="615"/>
      <c r="D36" s="615"/>
      <c r="E36" s="615"/>
      <c r="F36" s="615"/>
      <c r="G36" s="616"/>
    </row>
    <row r="37" spans="1:12" s="348" customFormat="1">
      <c r="A37" s="623" t="s">
        <v>736</v>
      </c>
      <c r="B37" s="624"/>
      <c r="C37" s="624"/>
      <c r="D37" s="624"/>
      <c r="E37" s="624"/>
      <c r="F37" s="624"/>
      <c r="G37" s="625"/>
    </row>
    <row r="38" spans="1:12" s="348" customFormat="1">
      <c r="A38" s="614" t="s">
        <v>188</v>
      </c>
      <c r="B38" s="615"/>
      <c r="C38" s="615"/>
      <c r="D38" s="615"/>
      <c r="E38" s="615"/>
      <c r="F38" s="615"/>
      <c r="G38" s="616"/>
    </row>
    <row r="39" spans="1:12" s="348" customFormat="1">
      <c r="A39" s="623" t="s">
        <v>748</v>
      </c>
      <c r="B39" s="624"/>
      <c r="C39" s="624"/>
      <c r="D39" s="624"/>
      <c r="E39" s="624"/>
      <c r="F39" s="624"/>
      <c r="G39" s="625"/>
    </row>
    <row r="40" spans="1:12" s="348" customFormat="1">
      <c r="A40" s="614" t="s">
        <v>747</v>
      </c>
      <c r="B40" s="615"/>
      <c r="C40" s="615"/>
      <c r="D40" s="615"/>
      <c r="E40" s="615"/>
      <c r="F40" s="615"/>
      <c r="G40" s="616"/>
    </row>
    <row r="41" spans="1:12" s="79" customFormat="1" ht="13.5" customHeight="1">
      <c r="A41" s="635"/>
      <c r="B41" s="636"/>
      <c r="C41" s="636"/>
      <c r="D41" s="636"/>
      <c r="E41" s="636"/>
      <c r="F41" s="636"/>
      <c r="G41" s="637"/>
      <c r="L41" s="120"/>
    </row>
    <row r="42" spans="1:12" s="79" customFormat="1" ht="13.5" customHeight="1">
      <c r="A42" s="614" t="s">
        <v>751</v>
      </c>
      <c r="B42" s="615"/>
      <c r="C42" s="615"/>
      <c r="D42" s="615"/>
      <c r="E42" s="615"/>
      <c r="F42" s="615"/>
      <c r="G42" s="616"/>
      <c r="L42" s="120"/>
    </row>
    <row r="43" spans="1:12" s="79" customFormat="1" ht="13.5" customHeight="1">
      <c r="A43" s="635"/>
      <c r="B43" s="636"/>
      <c r="C43" s="636"/>
      <c r="D43" s="636"/>
      <c r="E43" s="636"/>
      <c r="F43" s="636"/>
      <c r="G43" s="637"/>
      <c r="L43" s="120"/>
    </row>
    <row r="44" spans="1:12" ht="17.25" customHeight="1">
      <c r="A44" s="626" t="s">
        <v>739</v>
      </c>
      <c r="B44" s="627"/>
      <c r="C44" s="627"/>
      <c r="D44" s="627"/>
      <c r="E44" s="627"/>
      <c r="F44" s="627"/>
      <c r="G44" s="628"/>
      <c r="H44" s="120"/>
      <c r="I44" s="120"/>
      <c r="J44" s="120"/>
      <c r="K44" s="120"/>
    </row>
    <row r="45" spans="1:12" s="351" customFormat="1">
      <c r="A45" s="617" t="s">
        <v>744</v>
      </c>
      <c r="B45" s="618"/>
      <c r="C45" s="618"/>
      <c r="D45" s="618"/>
      <c r="E45" s="618"/>
      <c r="F45" s="618"/>
      <c r="G45" s="619"/>
    </row>
    <row r="46" spans="1:12" s="351" customFormat="1">
      <c r="A46" s="620" t="s">
        <v>743</v>
      </c>
      <c r="B46" s="621"/>
      <c r="C46" s="621"/>
      <c r="D46" s="621"/>
      <c r="E46" s="621"/>
      <c r="F46" s="621"/>
      <c r="G46" s="622"/>
    </row>
    <row r="47" spans="1:12">
      <c r="A47" s="617" t="s">
        <v>740</v>
      </c>
      <c r="B47" s="618"/>
      <c r="C47" s="618"/>
      <c r="D47" s="618"/>
      <c r="E47" s="618"/>
      <c r="F47" s="618"/>
      <c r="G47" s="619"/>
      <c r="H47" s="120"/>
      <c r="I47" s="120"/>
      <c r="J47" s="120"/>
      <c r="K47" s="120"/>
    </row>
    <row r="48" spans="1:12">
      <c r="A48" s="620" t="s">
        <v>749</v>
      </c>
      <c r="B48" s="621"/>
      <c r="C48" s="621"/>
      <c r="D48" s="621"/>
      <c r="E48" s="621"/>
      <c r="F48" s="621"/>
      <c r="G48" s="622"/>
      <c r="H48" s="120"/>
      <c r="I48" s="120"/>
      <c r="J48" s="120"/>
      <c r="K48" s="120"/>
    </row>
    <row r="49" spans="1:12" s="348" customFormat="1">
      <c r="A49" s="617" t="s">
        <v>741</v>
      </c>
      <c r="B49" s="618"/>
      <c r="C49" s="618"/>
      <c r="D49" s="618"/>
      <c r="E49" s="618"/>
      <c r="F49" s="618"/>
      <c r="G49" s="619"/>
    </row>
    <row r="50" spans="1:12" s="348" customFormat="1">
      <c r="A50" s="620" t="s">
        <v>729</v>
      </c>
      <c r="B50" s="621"/>
      <c r="C50" s="621"/>
      <c r="D50" s="621"/>
      <c r="E50" s="621"/>
      <c r="F50" s="621"/>
      <c r="G50" s="622"/>
    </row>
    <row r="51" spans="1:12" s="348" customFormat="1">
      <c r="A51" s="623" t="s">
        <v>742</v>
      </c>
      <c r="B51" s="624"/>
      <c r="C51" s="624"/>
      <c r="D51" s="624"/>
      <c r="E51" s="624"/>
      <c r="F51" s="624"/>
      <c r="G51" s="625"/>
    </row>
    <row r="52" spans="1:12" s="348" customFormat="1">
      <c r="A52" s="614" t="s">
        <v>750</v>
      </c>
      <c r="B52" s="615"/>
      <c r="C52" s="615"/>
      <c r="D52" s="615"/>
      <c r="E52" s="615"/>
      <c r="F52" s="615"/>
      <c r="G52" s="616"/>
    </row>
    <row r="53" spans="1:12">
      <c r="A53" s="623" t="s">
        <v>737</v>
      </c>
      <c r="B53" s="624"/>
      <c r="C53" s="624"/>
      <c r="D53" s="624"/>
      <c r="E53" s="624"/>
      <c r="F53" s="624"/>
      <c r="G53" s="625"/>
      <c r="H53" s="120"/>
      <c r="I53" s="120"/>
      <c r="J53" s="120"/>
      <c r="K53" s="120"/>
    </row>
    <row r="54" spans="1:12">
      <c r="A54" s="614" t="s">
        <v>730</v>
      </c>
      <c r="B54" s="615"/>
      <c r="C54" s="615"/>
      <c r="D54" s="615"/>
      <c r="E54" s="615"/>
      <c r="F54" s="615"/>
      <c r="G54" s="616"/>
      <c r="H54" s="120"/>
      <c r="I54" s="120"/>
      <c r="J54" s="120"/>
      <c r="K54" s="120"/>
    </row>
    <row r="55" spans="1:12">
      <c r="A55" s="643"/>
      <c r="B55" s="644"/>
      <c r="C55" s="644"/>
      <c r="D55" s="644"/>
      <c r="E55" s="644"/>
      <c r="F55" s="644"/>
      <c r="G55" s="645"/>
      <c r="H55" s="120"/>
      <c r="I55" s="120"/>
      <c r="J55" s="120"/>
      <c r="K55" s="120"/>
    </row>
    <row r="56" spans="1:12" s="79" customFormat="1" ht="18" customHeight="1">
      <c r="A56" s="640" t="s">
        <v>537</v>
      </c>
      <c r="B56" s="641"/>
      <c r="C56" s="641"/>
      <c r="D56" s="641"/>
      <c r="E56" s="641"/>
      <c r="F56" s="641"/>
      <c r="G56" s="642"/>
      <c r="L56" s="120"/>
    </row>
    <row r="57" spans="1:12" s="100" customFormat="1" ht="13.5" customHeight="1">
      <c r="A57" s="505"/>
      <c r="B57" s="506"/>
      <c r="C57" s="506"/>
      <c r="D57" s="506"/>
      <c r="E57" s="506"/>
      <c r="F57" s="506"/>
      <c r="G57" s="507"/>
      <c r="H57" s="99"/>
      <c r="I57" s="99"/>
      <c r="J57" s="99"/>
      <c r="K57" s="99"/>
    </row>
    <row r="58" spans="1:12" s="79" customFormat="1" ht="21">
      <c r="A58" s="638" t="str">
        <f>$B$1</f>
        <v>種族特徴</v>
      </c>
      <c r="B58" s="639"/>
      <c r="C58" s="37" t="s">
        <v>40</v>
      </c>
      <c r="D58" s="38" t="str">
        <f>$E$1</f>
        <v>遭遇毎</v>
      </c>
      <c r="E58" s="564" t="str">
        <f>$B$2</f>
        <v>ロングトゥース・シフティング</v>
      </c>
      <c r="F58" s="565"/>
      <c r="G58" s="566"/>
      <c r="L58" s="120"/>
    </row>
  </sheetData>
  <mergeCells count="62">
    <mergeCell ref="A58:B58"/>
    <mergeCell ref="A57:G57"/>
    <mergeCell ref="E58:G58"/>
    <mergeCell ref="A16:G16"/>
    <mergeCell ref="A17:G17"/>
    <mergeCell ref="A18:G18"/>
    <mergeCell ref="A22:G22"/>
    <mergeCell ref="A23:G23"/>
    <mergeCell ref="A56:G56"/>
    <mergeCell ref="A55:G55"/>
    <mergeCell ref="A45:G45"/>
    <mergeCell ref="A46:G46"/>
    <mergeCell ref="A38:G38"/>
    <mergeCell ref="A44:G44"/>
    <mergeCell ref="A47:G47"/>
    <mergeCell ref="A48:G48"/>
    <mergeCell ref="A43:G43"/>
    <mergeCell ref="A42:G42"/>
    <mergeCell ref="A41:G41"/>
    <mergeCell ref="A19:G19"/>
    <mergeCell ref="A20:G20"/>
    <mergeCell ref="A21:G21"/>
    <mergeCell ref="A34:G34"/>
    <mergeCell ref="A35:G35"/>
    <mergeCell ref="A36:G36"/>
    <mergeCell ref="A39:G39"/>
    <mergeCell ref="A40:G40"/>
    <mergeCell ref="A37:G37"/>
    <mergeCell ref="J11:K11"/>
    <mergeCell ref="B13:G13"/>
    <mergeCell ref="B14:G14"/>
    <mergeCell ref="B11:G11"/>
    <mergeCell ref="B15:G15"/>
    <mergeCell ref="B1:C1"/>
    <mergeCell ref="F1:G1"/>
    <mergeCell ref="B2:G2"/>
    <mergeCell ref="B4:G4"/>
    <mergeCell ref="B5:G5"/>
    <mergeCell ref="H4:L4"/>
    <mergeCell ref="B6:D6"/>
    <mergeCell ref="B7:D7"/>
    <mergeCell ref="B8:G8"/>
    <mergeCell ref="B9:G9"/>
    <mergeCell ref="J9:K9"/>
    <mergeCell ref="B10:G10"/>
    <mergeCell ref="A30:G30"/>
    <mergeCell ref="A31:G31"/>
    <mergeCell ref="A32:G32"/>
    <mergeCell ref="A33:G33"/>
    <mergeCell ref="A24:G24"/>
    <mergeCell ref="A25:G25"/>
    <mergeCell ref="A26:G26"/>
    <mergeCell ref="B12:G12"/>
    <mergeCell ref="A27:G27"/>
    <mergeCell ref="A28:G28"/>
    <mergeCell ref="A29:G29"/>
    <mergeCell ref="A54:G54"/>
    <mergeCell ref="A49:G49"/>
    <mergeCell ref="A50:G50"/>
    <mergeCell ref="A51:G51"/>
    <mergeCell ref="A52:G52"/>
    <mergeCell ref="A53:G53"/>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基本!$A$16:$A$19</xm:f>
          </x14:formula1>
          <xm:sqref>K8</xm:sqref>
        </x14:dataValidation>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基本!$D$27:$D$31</xm:f>
          </x14:formula1>
          <xm:sqref>I7</xm:sqref>
        </x14:dataValidation>
        <x14:dataValidation type="list" allowBlank="1" showInputMessage="1" showErrorMessage="1">
          <x14:formula1>
            <xm:f>基本!$C$27:$C$37</xm:f>
          </x14:formula1>
          <xm:sqref>I15</xm:sqref>
        </x14:dataValidation>
        <x14:dataValidation type="list" allowBlank="1" showInputMessage="1" showErrorMessage="1">
          <x14:formula1>
            <xm:f>基本!$A$5:$A$10</xm:f>
          </x14:formula1>
          <xm:sqref>I10 I8 K15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9"/>
  <sheetViews>
    <sheetView workbookViewId="0">
      <selection activeCell="B2" sqref="B2:G2"/>
    </sheetView>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3" ht="21">
      <c r="A1" s="39" t="s">
        <v>130</v>
      </c>
      <c r="B1" s="573">
        <v>2</v>
      </c>
      <c r="C1" s="574"/>
      <c r="D1" s="40" t="s">
        <v>40</v>
      </c>
      <c r="E1" s="41" t="s">
        <v>57</v>
      </c>
      <c r="F1" s="575"/>
      <c r="G1" s="576"/>
      <c r="H1" s="13" t="s">
        <v>55</v>
      </c>
    </row>
    <row r="2" spans="1:13" ht="24.75" customHeight="1">
      <c r="A2" s="40" t="s">
        <v>0</v>
      </c>
      <c r="B2" s="577" t="s">
        <v>369</v>
      </c>
      <c r="C2" s="577"/>
      <c r="D2" s="577"/>
      <c r="E2" s="577"/>
      <c r="F2" s="577"/>
      <c r="G2" s="577"/>
      <c r="H2" s="13" t="s">
        <v>56</v>
      </c>
    </row>
    <row r="3" spans="1:13" ht="19.5" customHeight="1">
      <c r="A3" s="23" t="s">
        <v>48</v>
      </c>
      <c r="B3" s="1"/>
      <c r="C3" s="1"/>
      <c r="D3" s="1"/>
      <c r="I3" s="13"/>
    </row>
    <row r="4" spans="1:13">
      <c r="A4" s="67" t="s">
        <v>46</v>
      </c>
      <c r="B4" s="480" t="s">
        <v>196</v>
      </c>
      <c r="C4" s="481"/>
      <c r="D4" s="481"/>
      <c r="E4" s="481"/>
      <c r="F4" s="481"/>
      <c r="G4" s="482"/>
      <c r="H4" s="394" t="s">
        <v>321</v>
      </c>
      <c r="I4" s="395"/>
      <c r="J4" s="395"/>
      <c r="K4" s="395"/>
      <c r="L4" s="396"/>
    </row>
    <row r="5" spans="1:13">
      <c r="A5" s="68" t="s">
        <v>39</v>
      </c>
      <c r="B5" s="480" t="s">
        <v>178</v>
      </c>
      <c r="C5" s="481"/>
      <c r="D5" s="481"/>
      <c r="E5" s="481"/>
      <c r="F5" s="481"/>
      <c r="G5" s="482"/>
      <c r="H5" s="52" t="s">
        <v>43</v>
      </c>
      <c r="I5" s="53" t="s">
        <v>88</v>
      </c>
      <c r="J5" s="53"/>
      <c r="K5" s="28"/>
      <c r="L5" s="46"/>
    </row>
    <row r="6" spans="1:13">
      <c r="A6" s="68" t="s">
        <v>7</v>
      </c>
      <c r="B6" s="629" t="s">
        <v>129</v>
      </c>
      <c r="C6" s="630"/>
      <c r="D6" s="631"/>
      <c r="E6" s="49" t="s">
        <v>43</v>
      </c>
      <c r="F6" s="48" t="str">
        <f>IF($I$5 = 0,"", $I$5)</f>
        <v>使用者</v>
      </c>
      <c r="G6" s="48" t="str">
        <f>IF($J$5 = 0,"", $J$5)</f>
        <v/>
      </c>
      <c r="H6" s="52" t="s">
        <v>66</v>
      </c>
      <c r="I6" s="53"/>
      <c r="J6" s="53"/>
      <c r="K6" s="28"/>
      <c r="L6" s="46"/>
    </row>
    <row r="7" spans="1:13">
      <c r="A7" s="69" t="s">
        <v>120</v>
      </c>
      <c r="B7" s="480"/>
      <c r="C7" s="481"/>
      <c r="D7" s="482"/>
      <c r="E7" s="49" t="s">
        <v>66</v>
      </c>
      <c r="F7" s="48" t="str">
        <f>IF($I$6 = 0,"", $I$6)</f>
        <v/>
      </c>
      <c r="G7" s="48" t="str">
        <f>IF($J$6 = 0,"", $J$6)</f>
        <v/>
      </c>
      <c r="H7" s="115" t="s">
        <v>85</v>
      </c>
      <c r="I7" s="53" t="s">
        <v>116</v>
      </c>
      <c r="J7" s="31" t="s">
        <v>62</v>
      </c>
      <c r="K7" s="28"/>
      <c r="L7" s="176" t="s">
        <v>318</v>
      </c>
    </row>
    <row r="8" spans="1:13" ht="13.5" customHeight="1">
      <c r="A8" s="70" t="s">
        <v>179</v>
      </c>
      <c r="B8" s="474" t="s">
        <v>197</v>
      </c>
      <c r="C8" s="475"/>
      <c r="D8" s="475"/>
      <c r="E8" s="475"/>
      <c r="F8" s="475"/>
      <c r="G8" s="476"/>
      <c r="H8" s="115" t="s">
        <v>51</v>
      </c>
      <c r="I8" s="53" t="s">
        <v>138</v>
      </c>
      <c r="J8" s="51">
        <f>IF($I$8 = "筋力",基本!$C$5,IF($I$8 = "耐久力",基本!$C$6,IF($I$8 = "敏捷力",基本!$C$7,IF($I$8 = "知力",基本!$C$8,IF($I$8 = "判断力",基本!$C$9,IF($I$8 = "筋力",基本!$C$10,""))))))</f>
        <v>6</v>
      </c>
      <c r="K8" s="53" t="s">
        <v>90</v>
      </c>
      <c r="L8" s="177">
        <f>$J$8+$L$9+$I$9</f>
        <v>23</v>
      </c>
    </row>
    <row r="9" spans="1:13" ht="13.5" customHeight="1">
      <c r="A9" s="72"/>
      <c r="B9" s="578"/>
      <c r="C9" s="503"/>
      <c r="D9" s="503"/>
      <c r="E9" s="503"/>
      <c r="F9" s="503"/>
      <c r="G9" s="504"/>
      <c r="H9" s="115" t="s">
        <v>58</v>
      </c>
      <c r="I9" s="53">
        <v>1</v>
      </c>
      <c r="J9" s="394" t="s">
        <v>53</v>
      </c>
      <c r="K9" s="396"/>
      <c r="L9" s="51">
        <f>IF($I$7=基本!$F$4,基本!$P$7,IF($I$7=基本!$F$13,基本!$P$16,IF($I$7=基本!$F$22,基本!$P$25,IF($I$7=基本!$F$31,基本!$P$34,IF($I$7=基本!$F$40,基本!$P$43,0)))))</f>
        <v>16</v>
      </c>
    </row>
    <row r="10" spans="1:13" ht="13.5" customHeight="1">
      <c r="A10" s="70" t="s">
        <v>61</v>
      </c>
      <c r="B10" s="474" t="s">
        <v>220</v>
      </c>
      <c r="C10" s="475"/>
      <c r="D10" s="475"/>
      <c r="E10" s="475"/>
      <c r="F10" s="475"/>
      <c r="G10" s="476"/>
      <c r="H10" s="89" t="s">
        <v>52</v>
      </c>
      <c r="I10" s="53" t="s">
        <v>139</v>
      </c>
      <c r="J10" s="35">
        <f>IF($I$8 = "筋力",基本!$C$5,IF($I$10 = "耐久力",基本!$C$6,IF($I$10 = "敏捷力",基本!$C$7,IF($I$10 = "知力",基本!$C$8,IF($I$10 = "判断力",基本!$C$9,IF($I$10 = "筋力",基本!$C$10,""))))))</f>
        <v>6</v>
      </c>
      <c r="K10" s="28"/>
      <c r="L10" s="28"/>
    </row>
    <row r="11" spans="1:13" ht="13.5" customHeight="1">
      <c r="A11" s="71"/>
      <c r="B11" s="523" t="s">
        <v>221</v>
      </c>
      <c r="C11" s="524"/>
      <c r="D11" s="524"/>
      <c r="E11" s="524"/>
      <c r="F11" s="524"/>
      <c r="G11" s="525"/>
      <c r="H11" s="52" t="s">
        <v>59</v>
      </c>
      <c r="I11" s="53">
        <v>0</v>
      </c>
      <c r="J11" s="394" t="s">
        <v>54</v>
      </c>
      <c r="K11" s="396"/>
      <c r="L11" s="51">
        <f>IF($I$7=基本!$F$4,基本!$P$9,IF($I$7=基本!$F$13,基本!$P$18,IF($I$7=基本!$F$22,基本!$P$27,IF($I$7=基本!$F$31,基本!$P$36,IF($I$7=基本!$F$40,基本!$P$45,0)))))</f>
        <v>6</v>
      </c>
    </row>
    <row r="12" spans="1:13" ht="13.5" customHeight="1">
      <c r="A12" s="71"/>
      <c r="B12" s="579"/>
      <c r="C12" s="580"/>
      <c r="D12" s="580"/>
      <c r="E12" s="580"/>
      <c r="F12" s="580"/>
      <c r="G12" s="581"/>
      <c r="H12" s="79"/>
      <c r="I12" s="79"/>
      <c r="J12" s="120"/>
      <c r="K12" s="120"/>
      <c r="L12" s="176" t="s">
        <v>318</v>
      </c>
      <c r="M12" s="120"/>
    </row>
    <row r="13" spans="1:13" ht="13.5" customHeight="1">
      <c r="A13" s="71"/>
      <c r="B13" s="649"/>
      <c r="C13" s="650"/>
      <c r="D13" s="650"/>
      <c r="E13" s="650"/>
      <c r="F13" s="650"/>
      <c r="G13" s="651"/>
      <c r="H13" s="180" t="s">
        <v>86</v>
      </c>
      <c r="I13" s="53">
        <v>1</v>
      </c>
      <c r="J13" s="52" t="s">
        <v>44</v>
      </c>
      <c r="K13" s="53">
        <v>10</v>
      </c>
      <c r="L13" s="177">
        <f>$J$10+$L$11+$I$11</f>
        <v>12</v>
      </c>
    </row>
    <row r="14" spans="1:13" ht="13.5" customHeight="1">
      <c r="A14" s="71"/>
      <c r="B14" s="523"/>
      <c r="C14" s="524"/>
      <c r="D14" s="524"/>
      <c r="E14" s="524"/>
      <c r="F14" s="524"/>
      <c r="G14" s="525"/>
      <c r="H14" s="52" t="s">
        <v>50</v>
      </c>
      <c r="I14" s="32">
        <f>IF($I$7=基本!$F$4,基本!$L$11,IF($I$7=基本!$F$13,基本!$L$20,IF($I$7=基本!$F$22,基本!$L$29,IF($I$7=基本!$F$31,基本!$L$38,IF($I$7=基本!$F$40,基本!$L$47,0)))))</f>
        <v>4</v>
      </c>
      <c r="J14" s="180" t="s">
        <v>320</v>
      </c>
      <c r="K14" s="32">
        <f>IF($I$7=基本!$F$4,基本!$N$11,IF($I$7=基本!$F$13,基本!$N$20,IF($I$7=基本!$F$22,基本!$N$29,IF($I$7=基本!$F$31,基本!$N$38,IF($I$7=基本!$F$40,基本!$N$47,0)))))</f>
        <v>8</v>
      </c>
      <c r="L14" s="177">
        <f>$J$10+$L$11+$I$11+($I$13*$K$13)</f>
        <v>22</v>
      </c>
      <c r="M14" s="91"/>
    </row>
    <row r="15" spans="1:13" ht="13.5" customHeight="1">
      <c r="A15" s="71"/>
      <c r="B15" s="523"/>
      <c r="C15" s="524"/>
      <c r="D15" s="524"/>
      <c r="E15" s="524"/>
      <c r="F15" s="524"/>
      <c r="G15" s="525"/>
      <c r="H15" s="52" t="s">
        <v>60</v>
      </c>
      <c r="I15" s="53"/>
      <c r="J15" s="168" t="s">
        <v>315</v>
      </c>
      <c r="K15" s="170" t="s">
        <v>138</v>
      </c>
      <c r="L15" s="178">
        <f>IF($K$15 = "筋力",基本!$C$5,IF($K$15 = "耐久力",基本!$C$6,IF($K$15 = "敏捷力",基本!$C$7,IF($K$15 = "知力",基本!$C$8,IF($K$15 = "判断力",基本!$C$9,IF($K$15 = "魅力",基本!$C$10,""))))))</f>
        <v>6</v>
      </c>
    </row>
    <row r="16" spans="1:13" ht="13.5" customHeight="1">
      <c r="A16" s="71"/>
      <c r="B16" s="523"/>
      <c r="C16" s="524"/>
      <c r="D16" s="524"/>
      <c r="E16" s="524"/>
      <c r="F16" s="524"/>
      <c r="G16" s="525"/>
      <c r="H16" s="175" t="s">
        <v>316</v>
      </c>
      <c r="I16" s="135">
        <v>12</v>
      </c>
      <c r="J16" s="28"/>
      <c r="K16" s="28"/>
      <c r="L16" s="46"/>
    </row>
    <row r="17" spans="1:12" ht="13.5" customHeight="1">
      <c r="A17" s="71"/>
      <c r="B17" s="523"/>
      <c r="C17" s="524"/>
      <c r="D17" s="524"/>
      <c r="E17" s="524"/>
      <c r="F17" s="524"/>
      <c r="G17" s="525"/>
      <c r="J17"/>
      <c r="K17"/>
    </row>
    <row r="18" spans="1:12" ht="13.5" customHeight="1">
      <c r="A18" s="72"/>
      <c r="B18" s="597"/>
      <c r="C18" s="598"/>
      <c r="D18" s="598"/>
      <c r="E18" s="598"/>
      <c r="F18" s="598"/>
      <c r="G18" s="599"/>
      <c r="J18"/>
      <c r="K18"/>
    </row>
    <row r="19" spans="1:12">
      <c r="A19" s="598"/>
      <c r="B19" s="598"/>
      <c r="C19" s="598"/>
      <c r="D19" s="598"/>
      <c r="E19" s="598"/>
      <c r="F19" s="598"/>
      <c r="G19" s="598"/>
    </row>
    <row r="20" spans="1:12" ht="13.5" customHeight="1">
      <c r="A20" s="531" t="s">
        <v>49</v>
      </c>
      <c r="B20" s="532"/>
      <c r="C20" s="532"/>
      <c r="D20" s="532"/>
      <c r="E20" s="532"/>
      <c r="F20" s="532"/>
      <c r="G20" s="533"/>
    </row>
    <row r="21" spans="1:12" s="99" customFormat="1" ht="13.5" customHeight="1">
      <c r="A21" s="646"/>
      <c r="B21" s="647"/>
      <c r="C21" s="647"/>
      <c r="D21" s="647"/>
      <c r="E21" s="647"/>
      <c r="F21" s="647"/>
      <c r="G21" s="648"/>
      <c r="L21" s="100"/>
    </row>
    <row r="22" spans="1:12" s="99" customFormat="1" ht="13.5" customHeight="1">
      <c r="A22" s="505" t="s">
        <v>222</v>
      </c>
      <c r="B22" s="506"/>
      <c r="C22" s="506"/>
      <c r="D22" s="506"/>
      <c r="E22" s="506"/>
      <c r="F22" s="506"/>
      <c r="G22" s="507"/>
      <c r="L22" s="100"/>
    </row>
    <row r="23" spans="1:12" s="99" customFormat="1" ht="13.5" customHeight="1">
      <c r="A23" s="505" t="s">
        <v>223</v>
      </c>
      <c r="B23" s="506"/>
      <c r="C23" s="506"/>
      <c r="D23" s="506"/>
      <c r="E23" s="506"/>
      <c r="F23" s="506"/>
      <c r="G23" s="507"/>
      <c r="L23" s="100"/>
    </row>
    <row r="24" spans="1:12" s="99" customFormat="1" ht="13.5" customHeight="1">
      <c r="A24" s="505" t="s">
        <v>224</v>
      </c>
      <c r="B24" s="506"/>
      <c r="C24" s="506"/>
      <c r="D24" s="506"/>
      <c r="E24" s="506"/>
      <c r="F24" s="506"/>
      <c r="G24" s="507"/>
      <c r="L24" s="100"/>
    </row>
    <row r="25" spans="1:12" s="100" customFormat="1" ht="13.5" customHeight="1">
      <c r="A25" s="505"/>
      <c r="B25" s="506"/>
      <c r="C25" s="506"/>
      <c r="D25" s="506"/>
      <c r="E25" s="506"/>
      <c r="F25" s="506"/>
      <c r="G25" s="507"/>
      <c r="H25" s="99"/>
      <c r="I25" s="99"/>
      <c r="J25" s="99"/>
      <c r="K25" s="99"/>
    </row>
    <row r="26" spans="1:12" s="99" customFormat="1" ht="13.5" customHeight="1">
      <c r="A26" s="505"/>
      <c r="B26" s="506"/>
      <c r="C26" s="506"/>
      <c r="D26" s="506"/>
      <c r="E26" s="506"/>
      <c r="F26" s="506"/>
      <c r="G26" s="507"/>
      <c r="L26" s="100"/>
    </row>
    <row r="27" spans="1:12" s="99" customFormat="1" ht="13.5" customHeight="1">
      <c r="A27" s="505"/>
      <c r="B27" s="506"/>
      <c r="C27" s="506"/>
      <c r="D27" s="506"/>
      <c r="E27" s="506"/>
      <c r="F27" s="506"/>
      <c r="G27" s="507"/>
      <c r="L27" s="100"/>
    </row>
    <row r="28" spans="1:12" s="99" customFormat="1" ht="13.5" customHeight="1">
      <c r="A28" s="505"/>
      <c r="B28" s="506"/>
      <c r="C28" s="506"/>
      <c r="D28" s="506"/>
      <c r="E28" s="506"/>
      <c r="F28" s="506"/>
      <c r="G28" s="507"/>
      <c r="L28" s="100"/>
    </row>
    <row r="29" spans="1:12" s="99" customFormat="1" ht="13.5" customHeight="1">
      <c r="A29" s="505"/>
      <c r="B29" s="506"/>
      <c r="C29" s="506"/>
      <c r="D29" s="506"/>
      <c r="E29" s="506"/>
      <c r="F29" s="506"/>
      <c r="G29" s="507"/>
      <c r="L29" s="100"/>
    </row>
    <row r="30" spans="1:12" s="100" customFormat="1" ht="13.5" customHeight="1">
      <c r="A30" s="505"/>
      <c r="B30" s="506"/>
      <c r="C30" s="506"/>
      <c r="D30" s="506"/>
      <c r="E30" s="506"/>
      <c r="F30" s="506"/>
      <c r="G30" s="507"/>
      <c r="H30" s="99"/>
      <c r="I30" s="99"/>
      <c r="J30" s="99"/>
      <c r="K30" s="99"/>
    </row>
    <row r="31" spans="1:12" s="99" customFormat="1" ht="13.5" customHeight="1">
      <c r="A31" s="505"/>
      <c r="B31" s="506"/>
      <c r="C31" s="506"/>
      <c r="D31" s="506"/>
      <c r="E31" s="506"/>
      <c r="F31" s="506"/>
      <c r="G31" s="507"/>
      <c r="L31" s="100"/>
    </row>
    <row r="32" spans="1:12" s="99" customFormat="1" ht="13.5" customHeight="1">
      <c r="A32" s="505"/>
      <c r="B32" s="506"/>
      <c r="C32" s="506"/>
      <c r="D32" s="506"/>
      <c r="E32" s="506"/>
      <c r="F32" s="506"/>
      <c r="G32" s="507"/>
      <c r="L32" s="100"/>
    </row>
    <row r="33" spans="1:12" s="99" customFormat="1" ht="13.5" customHeight="1">
      <c r="A33" s="505"/>
      <c r="B33" s="506"/>
      <c r="C33" s="506"/>
      <c r="D33" s="506"/>
      <c r="E33" s="506"/>
      <c r="F33" s="506"/>
      <c r="G33" s="507"/>
      <c r="L33" s="100"/>
    </row>
    <row r="34" spans="1:12" s="99" customFormat="1" ht="13.5" customHeight="1">
      <c r="A34" s="505"/>
      <c r="B34" s="506"/>
      <c r="C34" s="506"/>
      <c r="D34" s="506"/>
      <c r="E34" s="506"/>
      <c r="F34" s="506"/>
      <c r="G34" s="507"/>
      <c r="L34" s="100"/>
    </row>
    <row r="35" spans="1:12" s="99" customFormat="1" ht="13.5" customHeight="1">
      <c r="A35" s="505"/>
      <c r="B35" s="506"/>
      <c r="C35" s="506"/>
      <c r="D35" s="506"/>
      <c r="E35" s="506"/>
      <c r="F35" s="506"/>
      <c r="G35" s="507"/>
      <c r="L35" s="100"/>
    </row>
    <row r="36" spans="1:12" s="99" customFormat="1" ht="13.5" customHeight="1">
      <c r="A36" s="505"/>
      <c r="B36" s="506"/>
      <c r="C36" s="506"/>
      <c r="D36" s="506"/>
      <c r="E36" s="506"/>
      <c r="F36" s="506"/>
      <c r="G36" s="507"/>
      <c r="L36" s="100"/>
    </row>
    <row r="37" spans="1:12" s="99" customFormat="1" ht="13.5" customHeight="1">
      <c r="A37" s="505"/>
      <c r="B37" s="506"/>
      <c r="C37" s="506"/>
      <c r="D37" s="506"/>
      <c r="E37" s="506"/>
      <c r="F37" s="506"/>
      <c r="G37" s="507"/>
      <c r="L37" s="100"/>
    </row>
    <row r="38" spans="1:12" s="99" customFormat="1" ht="13.5" customHeight="1">
      <c r="A38" s="505"/>
      <c r="B38" s="506"/>
      <c r="C38" s="506"/>
      <c r="D38" s="506"/>
      <c r="E38" s="506"/>
      <c r="F38" s="506"/>
      <c r="G38" s="507"/>
      <c r="L38" s="100"/>
    </row>
    <row r="39" spans="1:12" s="99" customFormat="1" ht="13.5" customHeight="1">
      <c r="A39" s="505"/>
      <c r="B39" s="506"/>
      <c r="C39" s="506"/>
      <c r="D39" s="506"/>
      <c r="E39" s="506"/>
      <c r="F39" s="506"/>
      <c r="G39" s="507"/>
      <c r="L39" s="100"/>
    </row>
    <row r="40" spans="1:12" s="99" customFormat="1" ht="13.5" customHeight="1">
      <c r="A40" s="505"/>
      <c r="B40" s="506"/>
      <c r="C40" s="506"/>
      <c r="D40" s="506"/>
      <c r="E40" s="506"/>
      <c r="F40" s="506"/>
      <c r="G40" s="507"/>
      <c r="L40" s="100"/>
    </row>
    <row r="41" spans="1:12" s="99" customFormat="1" ht="13.5" customHeight="1">
      <c r="A41" s="505"/>
      <c r="B41" s="506"/>
      <c r="C41" s="506"/>
      <c r="D41" s="506"/>
      <c r="E41" s="506"/>
      <c r="F41" s="506"/>
      <c r="G41" s="507"/>
      <c r="L41" s="100"/>
    </row>
    <row r="42" spans="1:12" s="99" customFormat="1" ht="13.5" customHeight="1">
      <c r="A42" s="505"/>
      <c r="B42" s="506"/>
      <c r="C42" s="506"/>
      <c r="D42" s="506"/>
      <c r="E42" s="506"/>
      <c r="F42" s="506"/>
      <c r="G42" s="507"/>
      <c r="L42" s="100"/>
    </row>
    <row r="43" spans="1:12" s="99" customFormat="1" ht="13.5" customHeight="1">
      <c r="A43" s="505"/>
      <c r="B43" s="506"/>
      <c r="C43" s="506"/>
      <c r="D43" s="506"/>
      <c r="E43" s="506"/>
      <c r="F43" s="506"/>
      <c r="G43" s="507"/>
      <c r="L43" s="100"/>
    </row>
    <row r="44" spans="1:12" s="99" customFormat="1" ht="13.5" customHeight="1">
      <c r="A44" s="505"/>
      <c r="B44" s="506"/>
      <c r="C44" s="506"/>
      <c r="D44" s="506"/>
      <c r="E44" s="506"/>
      <c r="F44" s="506"/>
      <c r="G44" s="507"/>
      <c r="L44" s="100"/>
    </row>
    <row r="45" spans="1:12" s="99" customFormat="1" ht="13.5" customHeight="1">
      <c r="A45" s="505"/>
      <c r="B45" s="506"/>
      <c r="C45" s="506"/>
      <c r="D45" s="506"/>
      <c r="E45" s="506"/>
      <c r="F45" s="506"/>
      <c r="G45" s="507"/>
      <c r="L45" s="100"/>
    </row>
    <row r="46" spans="1:12" s="99" customFormat="1" ht="13.5" customHeight="1">
      <c r="A46" s="505"/>
      <c r="B46" s="506"/>
      <c r="C46" s="506"/>
      <c r="D46" s="506"/>
      <c r="E46" s="506"/>
      <c r="F46" s="506"/>
      <c r="G46" s="507"/>
      <c r="L46" s="100"/>
    </row>
    <row r="47" spans="1:12" s="99" customFormat="1" ht="13.5" customHeight="1">
      <c r="A47" s="505"/>
      <c r="B47" s="506"/>
      <c r="C47" s="506"/>
      <c r="D47" s="506"/>
      <c r="E47" s="506"/>
      <c r="F47" s="506"/>
      <c r="G47" s="507"/>
      <c r="L47" s="100"/>
    </row>
    <row r="48" spans="1:12" s="99" customFormat="1" ht="13.5" customHeight="1">
      <c r="A48" s="505"/>
      <c r="B48" s="506"/>
      <c r="C48" s="506"/>
      <c r="D48" s="506"/>
      <c r="E48" s="506"/>
      <c r="F48" s="506"/>
      <c r="G48" s="507"/>
      <c r="L48" s="100"/>
    </row>
    <row r="49" spans="1:12" s="99" customFormat="1" ht="13.5" customHeight="1">
      <c r="A49" s="505"/>
      <c r="B49" s="506"/>
      <c r="C49" s="506"/>
      <c r="D49" s="506"/>
      <c r="E49" s="506"/>
      <c r="F49" s="506"/>
      <c r="G49" s="507"/>
      <c r="L49" s="100"/>
    </row>
    <row r="50" spans="1:12" s="99" customFormat="1" ht="13.5" customHeight="1">
      <c r="A50" s="505"/>
      <c r="B50" s="506"/>
      <c r="C50" s="506"/>
      <c r="D50" s="506"/>
      <c r="E50" s="506"/>
      <c r="F50" s="506"/>
      <c r="G50" s="507"/>
      <c r="L50" s="100"/>
    </row>
    <row r="51" spans="1:12" s="99" customFormat="1" ht="13.5" customHeight="1">
      <c r="A51" s="505"/>
      <c r="B51" s="506"/>
      <c r="C51" s="506"/>
      <c r="D51" s="506"/>
      <c r="E51" s="506"/>
      <c r="F51" s="506"/>
      <c r="G51" s="507"/>
      <c r="L51" s="100"/>
    </row>
    <row r="52" spans="1:12" s="99" customFormat="1" ht="13.5" customHeight="1">
      <c r="A52" s="505"/>
      <c r="B52" s="506"/>
      <c r="C52" s="506"/>
      <c r="D52" s="506"/>
      <c r="E52" s="506"/>
      <c r="F52" s="506"/>
      <c r="G52" s="507"/>
      <c r="L52" s="100"/>
    </row>
    <row r="53" spans="1:12" s="99" customFormat="1" ht="13.5" customHeight="1">
      <c r="A53" s="505"/>
      <c r="B53" s="506"/>
      <c r="C53" s="506"/>
      <c r="D53" s="506"/>
      <c r="E53" s="506"/>
      <c r="F53" s="506"/>
      <c r="G53" s="507"/>
      <c r="L53" s="100"/>
    </row>
    <row r="54" spans="1:12" s="99" customFormat="1" ht="13.5" customHeight="1">
      <c r="A54" s="505"/>
      <c r="B54" s="506"/>
      <c r="C54" s="506"/>
      <c r="D54" s="506"/>
      <c r="E54" s="506"/>
      <c r="F54" s="506"/>
      <c r="G54" s="507"/>
      <c r="L54" s="100"/>
    </row>
    <row r="55" spans="1:12" s="99" customFormat="1" ht="13.5" customHeight="1">
      <c r="A55" s="505"/>
      <c r="B55" s="506"/>
      <c r="C55" s="506"/>
      <c r="D55" s="506"/>
      <c r="E55" s="506"/>
      <c r="F55" s="506"/>
      <c r="G55" s="507"/>
      <c r="L55" s="100"/>
    </row>
    <row r="56" spans="1:12" s="99" customFormat="1" ht="13.5" customHeight="1">
      <c r="A56" s="505"/>
      <c r="B56" s="506"/>
      <c r="C56" s="506"/>
      <c r="D56" s="506"/>
      <c r="E56" s="506"/>
      <c r="F56" s="506"/>
      <c r="G56" s="507"/>
      <c r="L56" s="100"/>
    </row>
    <row r="57" spans="1:12" s="99" customFormat="1" ht="13.5" customHeight="1">
      <c r="A57" s="505"/>
      <c r="B57" s="506"/>
      <c r="C57" s="506"/>
      <c r="D57" s="506"/>
      <c r="E57" s="506"/>
      <c r="F57" s="506"/>
      <c r="G57" s="507"/>
      <c r="L57" s="100"/>
    </row>
    <row r="58" spans="1:12" s="100" customFormat="1" ht="13.5" customHeight="1">
      <c r="A58" s="505"/>
      <c r="B58" s="506"/>
      <c r="C58" s="506"/>
      <c r="D58" s="506"/>
      <c r="E58" s="506"/>
      <c r="F58" s="506"/>
      <c r="G58" s="507"/>
      <c r="H58" s="99"/>
      <c r="I58" s="99"/>
      <c r="J58" s="99"/>
      <c r="K58" s="99"/>
    </row>
    <row r="59" spans="1:12" s="1" customFormat="1" ht="21">
      <c r="A59" s="36" t="s">
        <v>32</v>
      </c>
      <c r="B59" s="54">
        <f>$B$1</f>
        <v>2</v>
      </c>
      <c r="C59" s="37" t="s">
        <v>40</v>
      </c>
      <c r="D59" s="38" t="str">
        <f>$E$1</f>
        <v>遭遇毎</v>
      </c>
      <c r="E59" s="564" t="str">
        <f>$B$2</f>
        <v>ステイ・バック</v>
      </c>
      <c r="F59" s="565"/>
      <c r="G59" s="566"/>
      <c r="L59"/>
    </row>
  </sheetData>
  <mergeCells count="62">
    <mergeCell ref="A53:G53"/>
    <mergeCell ref="A40:G40"/>
    <mergeCell ref="A49:G49"/>
    <mergeCell ref="A50:G50"/>
    <mergeCell ref="A51:G51"/>
    <mergeCell ref="A52:G52"/>
    <mergeCell ref="A23:G23"/>
    <mergeCell ref="A56:G56"/>
    <mergeCell ref="A57:G57"/>
    <mergeCell ref="A24:G24"/>
    <mergeCell ref="A25:G25"/>
    <mergeCell ref="A48:G48"/>
    <mergeCell ref="A54:G54"/>
    <mergeCell ref="A55:G55"/>
    <mergeCell ref="A32:G32"/>
    <mergeCell ref="A33:G33"/>
    <mergeCell ref="A34:G34"/>
    <mergeCell ref="A36:G36"/>
    <mergeCell ref="A45:G45"/>
    <mergeCell ref="A37:G37"/>
    <mergeCell ref="A38:G38"/>
    <mergeCell ref="A39:G39"/>
    <mergeCell ref="J11:K11"/>
    <mergeCell ref="B13:G13"/>
    <mergeCell ref="B17:G17"/>
    <mergeCell ref="B18:G18"/>
    <mergeCell ref="B16:G16"/>
    <mergeCell ref="B15:G15"/>
    <mergeCell ref="B14:G14"/>
    <mergeCell ref="B12:G12"/>
    <mergeCell ref="B9:G9"/>
    <mergeCell ref="B10:G10"/>
    <mergeCell ref="E59:G59"/>
    <mergeCell ref="A58:G58"/>
    <mergeCell ref="B1:C1"/>
    <mergeCell ref="F1:G1"/>
    <mergeCell ref="B2:G2"/>
    <mergeCell ref="B5:G5"/>
    <mergeCell ref="B6:D6"/>
    <mergeCell ref="B4:G4"/>
    <mergeCell ref="A26:G26"/>
    <mergeCell ref="A27:G27"/>
    <mergeCell ref="A21:G21"/>
    <mergeCell ref="A19:G19"/>
    <mergeCell ref="A20:G20"/>
    <mergeCell ref="A22:G22"/>
    <mergeCell ref="H4:L4"/>
    <mergeCell ref="A46:G46"/>
    <mergeCell ref="A47:G47"/>
    <mergeCell ref="A35:G35"/>
    <mergeCell ref="A28:G28"/>
    <mergeCell ref="A29:G29"/>
    <mergeCell ref="A30:G30"/>
    <mergeCell ref="A31:G31"/>
    <mergeCell ref="A41:G41"/>
    <mergeCell ref="A42:G42"/>
    <mergeCell ref="A43:G43"/>
    <mergeCell ref="A44:G44"/>
    <mergeCell ref="J9:K9"/>
    <mergeCell ref="B11:G11"/>
    <mergeCell ref="B7:D7"/>
    <mergeCell ref="B8:G8"/>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基本!$A$5:$A$10</xm:f>
          </x14:formula1>
          <xm:sqref>I10 I8 K15</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I7</xm:sqref>
        </x14:dataValidation>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 type="list" allowBlank="1" showInputMessage="1" showErrorMessage="1">
          <x14:formula1>
            <xm:f>基本!$A$16:$A$19</xm:f>
          </x14:formula1>
          <xm:sqref>K8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M59"/>
  <sheetViews>
    <sheetView workbookViewId="0">
      <selection activeCell="B2" sqref="B2:G2"/>
    </sheetView>
  </sheetViews>
  <sheetFormatPr defaultRowHeight="13.5"/>
  <cols>
    <col min="1" max="1" width="7.875" style="98" customWidth="1"/>
    <col min="2" max="2" width="8.5" style="98" customWidth="1"/>
    <col min="3" max="3" width="6.625" style="98" customWidth="1"/>
    <col min="4" max="4" width="15.75" style="98" customWidth="1"/>
    <col min="5" max="6" width="15.75" style="79" customWidth="1"/>
    <col min="7" max="7" width="18.25" style="79" customWidth="1"/>
    <col min="8" max="8" width="17.375" style="79" customWidth="1"/>
    <col min="9" max="9" width="14.625" style="79" customWidth="1"/>
    <col min="10" max="10" width="8.375" style="79" customWidth="1"/>
    <col min="11" max="11" width="7.5" style="79" customWidth="1"/>
    <col min="12" max="12" width="7.875" style="98" customWidth="1"/>
    <col min="13" max="13" width="9.25" style="98" customWidth="1"/>
    <col min="14" max="14" width="12.375" style="98" customWidth="1"/>
    <col min="15" max="16384" width="9" style="98"/>
  </cols>
  <sheetData>
    <row r="1" spans="1:13" ht="21">
      <c r="A1" s="105" t="s">
        <v>32</v>
      </c>
      <c r="B1" s="600">
        <v>6</v>
      </c>
      <c r="C1" s="601"/>
      <c r="D1" s="106" t="s">
        <v>40</v>
      </c>
      <c r="E1" s="107" t="s">
        <v>127</v>
      </c>
      <c r="F1" s="602"/>
      <c r="G1" s="603"/>
      <c r="H1" s="84" t="s">
        <v>55</v>
      </c>
    </row>
    <row r="2" spans="1:13" ht="24.75" customHeight="1">
      <c r="A2" s="106" t="s">
        <v>0</v>
      </c>
      <c r="B2" s="604" t="s">
        <v>198</v>
      </c>
      <c r="C2" s="604"/>
      <c r="D2" s="604"/>
      <c r="E2" s="604"/>
      <c r="F2" s="604"/>
      <c r="G2" s="604"/>
      <c r="H2" s="84" t="s">
        <v>56</v>
      </c>
    </row>
    <row r="3" spans="1:13" ht="19.5" customHeight="1">
      <c r="A3" s="90" t="s">
        <v>48</v>
      </c>
      <c r="B3" s="79"/>
      <c r="C3" s="79"/>
      <c r="D3" s="79"/>
      <c r="I3" s="84"/>
    </row>
    <row r="4" spans="1:13">
      <c r="A4" s="67" t="s">
        <v>46</v>
      </c>
      <c r="B4" s="480" t="s">
        <v>199</v>
      </c>
      <c r="C4" s="481"/>
      <c r="D4" s="481"/>
      <c r="E4" s="481"/>
      <c r="F4" s="481"/>
      <c r="G4" s="482"/>
      <c r="H4" s="394" t="s">
        <v>321</v>
      </c>
      <c r="I4" s="395"/>
      <c r="J4" s="395"/>
      <c r="K4" s="395"/>
      <c r="L4" s="396"/>
    </row>
    <row r="5" spans="1:13">
      <c r="A5" s="68" t="s">
        <v>39</v>
      </c>
      <c r="B5" s="480" t="s">
        <v>294</v>
      </c>
      <c r="C5" s="481"/>
      <c r="D5" s="481"/>
      <c r="E5" s="481"/>
      <c r="F5" s="481"/>
      <c r="G5" s="482"/>
      <c r="H5" s="96" t="s">
        <v>43</v>
      </c>
      <c r="I5" s="97" t="s">
        <v>88</v>
      </c>
      <c r="J5" s="97"/>
    </row>
    <row r="6" spans="1:13">
      <c r="A6" s="68" t="s">
        <v>7</v>
      </c>
      <c r="B6" s="629" t="s">
        <v>132</v>
      </c>
      <c r="C6" s="630"/>
      <c r="D6" s="631"/>
      <c r="E6" s="96" t="s">
        <v>43</v>
      </c>
      <c r="F6" s="95" t="str">
        <f>IF($I$5 = 0,"", $I$5)</f>
        <v>使用者</v>
      </c>
      <c r="G6" s="95" t="str">
        <f>IF($J$5 = 0,"", $J$5)</f>
        <v/>
      </c>
      <c r="H6" s="96" t="s">
        <v>66</v>
      </c>
      <c r="I6" s="97"/>
      <c r="J6" s="97"/>
    </row>
    <row r="7" spans="1:13">
      <c r="A7" s="69" t="s">
        <v>120</v>
      </c>
      <c r="B7" s="480"/>
      <c r="C7" s="481"/>
      <c r="D7" s="482"/>
      <c r="E7" s="96" t="s">
        <v>66</v>
      </c>
      <c r="F7" s="95" t="str">
        <f>IF($I$6 = 0,"", $I$6)</f>
        <v/>
      </c>
      <c r="G7" s="95" t="str">
        <f>IF($J$6 = 0,"", $J$6)</f>
        <v/>
      </c>
      <c r="H7" s="115" t="s">
        <v>85</v>
      </c>
      <c r="I7" s="97" t="s">
        <v>116</v>
      </c>
      <c r="J7" s="84" t="s">
        <v>62</v>
      </c>
      <c r="L7" s="176" t="s">
        <v>318</v>
      </c>
    </row>
    <row r="8" spans="1:13" ht="13.5" customHeight="1">
      <c r="A8" s="69" t="s">
        <v>128</v>
      </c>
      <c r="B8" s="474" t="s">
        <v>200</v>
      </c>
      <c r="C8" s="475"/>
      <c r="D8" s="475"/>
      <c r="E8" s="475"/>
      <c r="F8" s="475"/>
      <c r="G8" s="476"/>
      <c r="H8" s="115" t="s">
        <v>51</v>
      </c>
      <c r="I8" s="97" t="s">
        <v>138</v>
      </c>
      <c r="J8" s="95">
        <f>IF($I$8 = "筋力",基本!$C$5,IF($I$8 = "耐久力",基本!$C$6,IF($I$8 = "敏捷力",基本!$C$7,IF($I$8 = "知力",基本!$C$8,IF($I$8 = "判断力",基本!$C$9,IF($I$8 = "筋力",基本!$C$10,""))))))</f>
        <v>6</v>
      </c>
      <c r="K8" s="97" t="s">
        <v>90</v>
      </c>
      <c r="L8" s="177">
        <f>$J$8+$L$9+$I$9</f>
        <v>23</v>
      </c>
    </row>
    <row r="9" spans="1:13" ht="13.5" customHeight="1">
      <c r="A9" s="71" t="s">
        <v>61</v>
      </c>
      <c r="B9" s="474" t="s">
        <v>201</v>
      </c>
      <c r="C9" s="475"/>
      <c r="D9" s="475"/>
      <c r="E9" s="475"/>
      <c r="F9" s="475"/>
      <c r="G9" s="476"/>
      <c r="H9" s="115" t="s">
        <v>58</v>
      </c>
      <c r="I9" s="97">
        <v>1</v>
      </c>
      <c r="J9" s="394" t="s">
        <v>53</v>
      </c>
      <c r="K9" s="396"/>
      <c r="L9" s="95">
        <f>IF($I$7=基本!$F$4,基本!$P$7,IF($I$7=基本!$F$13,基本!$P$16,IF($I$7=基本!$F$22,基本!$P$25,IF($I$7=基本!$F$31,基本!$P$34,IF($I$7=基本!$F$40,基本!$P$43,0)))))</f>
        <v>16</v>
      </c>
    </row>
    <row r="10" spans="1:13" ht="13.5" customHeight="1">
      <c r="A10" s="71"/>
      <c r="B10" s="505"/>
      <c r="C10" s="506"/>
      <c r="D10" s="506"/>
      <c r="E10" s="506"/>
      <c r="F10" s="506"/>
      <c r="G10" s="507"/>
      <c r="H10" s="89" t="s">
        <v>52</v>
      </c>
      <c r="I10" s="97" t="s">
        <v>139</v>
      </c>
      <c r="J10" s="88">
        <f>IF($I$8 = "筋力",基本!$C$5,IF($I$10 = "耐久力",基本!$C$6,IF($I$10 = "敏捷力",基本!$C$7,IF($I$10 = "知力",基本!$C$8,IF($I$10 = "判断力",基本!$C$9,IF($I$10 = "筋力",基本!$C$10,""))))))</f>
        <v>6</v>
      </c>
      <c r="L10" s="79"/>
    </row>
    <row r="11" spans="1:13" ht="13.5" customHeight="1">
      <c r="A11" s="71"/>
      <c r="B11" s="505"/>
      <c r="C11" s="506"/>
      <c r="D11" s="506"/>
      <c r="E11" s="506"/>
      <c r="F11" s="506"/>
      <c r="G11" s="507"/>
      <c r="H11" s="96" t="s">
        <v>59</v>
      </c>
      <c r="I11" s="97">
        <v>0</v>
      </c>
      <c r="J11" s="394" t="s">
        <v>54</v>
      </c>
      <c r="K11" s="396"/>
      <c r="L11" s="95">
        <f>IF($I$7=基本!$F$4,基本!$P$9,IF($I$7=基本!$F$13,基本!$P$18,IF($I$7=基本!$F$22,基本!$P$27,IF($I$7=基本!$F$31,基本!$P$36,IF($I$7=基本!$F$40,基本!$P$45,0)))))</f>
        <v>6</v>
      </c>
    </row>
    <row r="12" spans="1:13">
      <c r="A12" s="71"/>
      <c r="B12" s="505"/>
      <c r="C12" s="506"/>
      <c r="D12" s="506"/>
      <c r="E12" s="506"/>
      <c r="F12" s="506"/>
      <c r="G12" s="507"/>
      <c r="J12" s="120"/>
      <c r="K12" s="120"/>
      <c r="L12" s="176" t="s">
        <v>318</v>
      </c>
      <c r="M12" s="120"/>
    </row>
    <row r="13" spans="1:13" ht="13.5" customHeight="1">
      <c r="A13" s="71"/>
      <c r="B13" s="649"/>
      <c r="C13" s="650"/>
      <c r="D13" s="650"/>
      <c r="E13" s="650"/>
      <c r="F13" s="650"/>
      <c r="G13" s="651"/>
      <c r="H13" s="180" t="s">
        <v>86</v>
      </c>
      <c r="I13" s="97">
        <v>2</v>
      </c>
      <c r="J13" s="96" t="s">
        <v>44</v>
      </c>
      <c r="K13" s="97">
        <v>10</v>
      </c>
      <c r="L13" s="177">
        <f>$J$10+$L$11+$I$11</f>
        <v>12</v>
      </c>
    </row>
    <row r="14" spans="1:13" ht="13.5" customHeight="1">
      <c r="A14" s="71"/>
      <c r="B14" s="523"/>
      <c r="C14" s="524"/>
      <c r="D14" s="524"/>
      <c r="E14" s="524"/>
      <c r="F14" s="524"/>
      <c r="G14" s="525"/>
      <c r="H14" s="96" t="s">
        <v>50</v>
      </c>
      <c r="I14" s="32">
        <f>IF($I$7=基本!$F$4,基本!$L$11,IF($I$7=基本!$F$13,基本!$L$20,IF($I$7=基本!$F$22,基本!$L$29,IF($I$7=基本!$F$31,基本!$L$38,IF($I$7=基本!$F$40,基本!$L$47,0)))))</f>
        <v>4</v>
      </c>
      <c r="J14" s="180" t="s">
        <v>320</v>
      </c>
      <c r="K14" s="32">
        <f>IF($I$7=基本!$F$4,基本!$N$11,IF($I$7=基本!$F$13,基本!$N$20,IF($I$7=基本!$F$22,基本!$N$29,IF($I$7=基本!$F$31,基本!$N$38,IF($I$7=基本!$F$40,基本!$N$47,0)))))</f>
        <v>8</v>
      </c>
      <c r="L14" s="177">
        <f>$J$10+$L$11+$I$11+($I$13*$K$13)</f>
        <v>32</v>
      </c>
      <c r="M14" s="91"/>
    </row>
    <row r="15" spans="1:13" ht="13.5" customHeight="1">
      <c r="A15" s="71"/>
      <c r="B15" s="649"/>
      <c r="C15" s="650"/>
      <c r="D15" s="650"/>
      <c r="E15" s="650"/>
      <c r="F15" s="650"/>
      <c r="G15" s="651"/>
      <c r="H15" s="96" t="s">
        <v>60</v>
      </c>
      <c r="I15" s="97"/>
      <c r="J15" s="168" t="s">
        <v>315</v>
      </c>
      <c r="K15" s="170" t="s">
        <v>138</v>
      </c>
      <c r="L15" s="178">
        <f>IF($K$15 = "筋力",基本!$C$5,IF($K$15 = "耐久力",基本!$C$6,IF($K$15 = "敏捷力",基本!$C$7,IF($K$15 = "知力",基本!$C$8,IF($K$15 = "判断力",基本!$C$9,IF($K$15 = "魅力",基本!$C$10,""))))))</f>
        <v>6</v>
      </c>
    </row>
    <row r="16" spans="1:13" ht="13.5" customHeight="1">
      <c r="A16" s="71"/>
      <c r="B16" s="523"/>
      <c r="C16" s="524"/>
      <c r="D16" s="524"/>
      <c r="E16" s="524"/>
      <c r="F16" s="524"/>
      <c r="G16" s="525"/>
      <c r="H16" s="175" t="s">
        <v>316</v>
      </c>
      <c r="I16" s="135">
        <v>12</v>
      </c>
    </row>
    <row r="17" spans="1:12" ht="13.5" customHeight="1">
      <c r="A17" s="71"/>
      <c r="B17" s="523"/>
      <c r="C17" s="524"/>
      <c r="D17" s="524"/>
      <c r="E17" s="524"/>
      <c r="F17" s="524"/>
      <c r="G17" s="525"/>
      <c r="J17" s="98"/>
      <c r="K17" s="98"/>
    </row>
    <row r="18" spans="1:12" ht="13.5" customHeight="1">
      <c r="A18" s="72"/>
      <c r="B18" s="597"/>
      <c r="C18" s="598"/>
      <c r="D18" s="598"/>
      <c r="E18" s="598"/>
      <c r="F18" s="598"/>
      <c r="G18" s="599"/>
      <c r="J18" s="98"/>
      <c r="K18" s="98"/>
    </row>
    <row r="19" spans="1:12">
      <c r="A19" s="598"/>
      <c r="B19" s="598"/>
      <c r="C19" s="598"/>
      <c r="D19" s="598"/>
      <c r="E19" s="598"/>
      <c r="F19" s="598"/>
      <c r="G19" s="598"/>
    </row>
    <row r="20" spans="1:12" ht="13.5" customHeight="1">
      <c r="A20" s="531" t="s">
        <v>49</v>
      </c>
      <c r="B20" s="532"/>
      <c r="C20" s="532"/>
      <c r="D20" s="532"/>
      <c r="E20" s="532"/>
      <c r="F20" s="532"/>
      <c r="G20" s="533"/>
    </row>
    <row r="21" spans="1:12" s="99" customFormat="1" ht="13.5" customHeight="1">
      <c r="A21" s="646"/>
      <c r="B21" s="647"/>
      <c r="C21" s="647"/>
      <c r="D21" s="647"/>
      <c r="E21" s="647"/>
      <c r="F21" s="647"/>
      <c r="G21" s="648"/>
      <c r="L21" s="100"/>
    </row>
    <row r="22" spans="1:12" s="99" customFormat="1" ht="21" customHeight="1">
      <c r="A22" s="477" t="s">
        <v>228</v>
      </c>
      <c r="B22" s="478"/>
      <c r="C22" s="478"/>
      <c r="D22" s="478"/>
      <c r="E22" s="478"/>
      <c r="F22" s="478"/>
      <c r="G22" s="479"/>
      <c r="L22" s="100"/>
    </row>
    <row r="23" spans="1:12" s="99" customFormat="1" ht="13.5" customHeight="1">
      <c r="A23" s="505"/>
      <c r="B23" s="506"/>
      <c r="C23" s="506"/>
      <c r="D23" s="506"/>
      <c r="E23" s="506"/>
      <c r="F23" s="506"/>
      <c r="G23" s="507"/>
      <c r="L23" s="100"/>
    </row>
    <row r="24" spans="1:12" s="99" customFormat="1" ht="13.5" customHeight="1">
      <c r="A24" s="505" t="s">
        <v>225</v>
      </c>
      <c r="B24" s="506"/>
      <c r="C24" s="506"/>
      <c r="D24" s="506"/>
      <c r="E24" s="506"/>
      <c r="F24" s="506"/>
      <c r="G24" s="507"/>
      <c r="L24" s="100"/>
    </row>
    <row r="25" spans="1:12" s="99" customFormat="1" ht="13.5" customHeight="1">
      <c r="A25" s="505" t="s">
        <v>226</v>
      </c>
      <c r="B25" s="506"/>
      <c r="C25" s="506"/>
      <c r="D25" s="506"/>
      <c r="E25" s="506"/>
      <c r="F25" s="506"/>
      <c r="G25" s="507"/>
      <c r="L25" s="100"/>
    </row>
    <row r="26" spans="1:12" s="99" customFormat="1" ht="13.5" customHeight="1">
      <c r="A26" s="505" t="s">
        <v>227</v>
      </c>
      <c r="B26" s="506"/>
      <c r="C26" s="506"/>
      <c r="D26" s="506"/>
      <c r="E26" s="506"/>
      <c r="F26" s="506"/>
      <c r="G26" s="507"/>
      <c r="L26" s="100"/>
    </row>
    <row r="27" spans="1:12" s="100" customFormat="1" ht="13.5" customHeight="1">
      <c r="A27" s="505"/>
      <c r="B27" s="506"/>
      <c r="C27" s="506"/>
      <c r="D27" s="506"/>
      <c r="E27" s="506"/>
      <c r="F27" s="506"/>
      <c r="G27" s="507"/>
      <c r="H27" s="99"/>
      <c r="I27" s="99"/>
      <c r="J27" s="99"/>
      <c r="K27" s="99"/>
    </row>
    <row r="28" spans="1:12" s="100" customFormat="1" ht="13.5" customHeight="1">
      <c r="A28" s="505" t="s">
        <v>230</v>
      </c>
      <c r="B28" s="506"/>
      <c r="C28" s="506"/>
      <c r="D28" s="506"/>
      <c r="E28" s="506"/>
      <c r="F28" s="506"/>
      <c r="G28" s="507"/>
      <c r="H28" s="99"/>
      <c r="I28" s="99"/>
      <c r="J28" s="99"/>
      <c r="K28" s="99"/>
    </row>
    <row r="29" spans="1:12" s="99" customFormat="1" ht="13.5" customHeight="1">
      <c r="A29" s="505" t="s">
        <v>231</v>
      </c>
      <c r="B29" s="506"/>
      <c r="C29" s="506"/>
      <c r="D29" s="506"/>
      <c r="E29" s="506"/>
      <c r="F29" s="506"/>
      <c r="G29" s="507"/>
      <c r="L29" s="100"/>
    </row>
    <row r="30" spans="1:12" s="99" customFormat="1" ht="13.5" customHeight="1">
      <c r="A30" s="505"/>
      <c r="B30" s="506"/>
      <c r="C30" s="506"/>
      <c r="D30" s="506"/>
      <c r="E30" s="506"/>
      <c r="F30" s="506"/>
      <c r="G30" s="507"/>
      <c r="L30" s="100"/>
    </row>
    <row r="31" spans="1:12" s="99" customFormat="1" ht="13.5" customHeight="1">
      <c r="A31" s="505"/>
      <c r="B31" s="506"/>
      <c r="C31" s="506"/>
      <c r="D31" s="506"/>
      <c r="E31" s="506"/>
      <c r="F31" s="506"/>
      <c r="G31" s="507"/>
      <c r="L31" s="100"/>
    </row>
    <row r="32" spans="1:12" s="99" customFormat="1" ht="13.5" customHeight="1">
      <c r="A32" s="505"/>
      <c r="B32" s="506"/>
      <c r="C32" s="506"/>
      <c r="D32" s="506"/>
      <c r="E32" s="506"/>
      <c r="F32" s="506"/>
      <c r="G32" s="507"/>
      <c r="L32" s="100"/>
    </row>
    <row r="33" spans="1:12" s="99" customFormat="1" ht="13.5" customHeight="1">
      <c r="A33" s="505"/>
      <c r="B33" s="506"/>
      <c r="C33" s="506"/>
      <c r="D33" s="506"/>
      <c r="E33" s="506"/>
      <c r="F33" s="506"/>
      <c r="G33" s="507"/>
      <c r="L33" s="100"/>
    </row>
    <row r="34" spans="1:12" s="99" customFormat="1" ht="13.5" customHeight="1">
      <c r="A34" s="505"/>
      <c r="B34" s="506"/>
      <c r="C34" s="506"/>
      <c r="D34" s="506"/>
      <c r="E34" s="506"/>
      <c r="F34" s="506"/>
      <c r="G34" s="507"/>
      <c r="L34" s="100"/>
    </row>
    <row r="35" spans="1:12" s="99" customFormat="1" ht="13.5" customHeight="1">
      <c r="A35" s="505"/>
      <c r="B35" s="506"/>
      <c r="C35" s="506"/>
      <c r="D35" s="506"/>
      <c r="E35" s="506"/>
      <c r="F35" s="506"/>
      <c r="G35" s="507"/>
      <c r="L35" s="100"/>
    </row>
    <row r="36" spans="1:12" s="99" customFormat="1" ht="13.5" customHeight="1">
      <c r="A36" s="505"/>
      <c r="B36" s="506"/>
      <c r="C36" s="506"/>
      <c r="D36" s="506"/>
      <c r="E36" s="506"/>
      <c r="F36" s="506"/>
      <c r="G36" s="507"/>
      <c r="L36" s="100"/>
    </row>
    <row r="37" spans="1:12" s="99" customFormat="1" ht="13.5" customHeight="1">
      <c r="A37" s="505"/>
      <c r="B37" s="506"/>
      <c r="C37" s="506"/>
      <c r="D37" s="506"/>
      <c r="E37" s="506"/>
      <c r="F37" s="506"/>
      <c r="G37" s="507"/>
      <c r="L37" s="100"/>
    </row>
    <row r="38" spans="1:12" s="99" customFormat="1" ht="13.5" customHeight="1">
      <c r="A38" s="505"/>
      <c r="B38" s="506"/>
      <c r="C38" s="506"/>
      <c r="D38" s="506"/>
      <c r="E38" s="506"/>
      <c r="F38" s="506"/>
      <c r="G38" s="507"/>
      <c r="L38" s="100"/>
    </row>
    <row r="39" spans="1:12" s="99" customFormat="1" ht="13.5" customHeight="1">
      <c r="A39" s="505"/>
      <c r="B39" s="506"/>
      <c r="C39" s="506"/>
      <c r="D39" s="506"/>
      <c r="E39" s="506"/>
      <c r="F39" s="506"/>
      <c r="G39" s="507"/>
      <c r="L39" s="100"/>
    </row>
    <row r="40" spans="1:12" s="99" customFormat="1" ht="13.5" customHeight="1">
      <c r="A40" s="505"/>
      <c r="B40" s="506"/>
      <c r="C40" s="506"/>
      <c r="D40" s="506"/>
      <c r="E40" s="506"/>
      <c r="F40" s="506"/>
      <c r="G40" s="507"/>
      <c r="L40" s="100"/>
    </row>
    <row r="41" spans="1:12" s="99" customFormat="1" ht="13.5" customHeight="1">
      <c r="A41" s="505"/>
      <c r="B41" s="506"/>
      <c r="C41" s="506"/>
      <c r="D41" s="506"/>
      <c r="E41" s="506"/>
      <c r="F41" s="506"/>
      <c r="G41" s="507"/>
      <c r="L41" s="100"/>
    </row>
    <row r="42" spans="1:12" s="99" customFormat="1" ht="13.5" customHeight="1">
      <c r="A42" s="505"/>
      <c r="B42" s="506"/>
      <c r="C42" s="506"/>
      <c r="D42" s="506"/>
      <c r="E42" s="506"/>
      <c r="F42" s="506"/>
      <c r="G42" s="507"/>
      <c r="L42" s="100"/>
    </row>
    <row r="43" spans="1:12" s="99" customFormat="1" ht="13.5" customHeight="1">
      <c r="A43" s="505"/>
      <c r="B43" s="506"/>
      <c r="C43" s="506"/>
      <c r="D43" s="506"/>
      <c r="E43" s="506"/>
      <c r="F43" s="506"/>
      <c r="G43" s="507"/>
      <c r="L43" s="100"/>
    </row>
    <row r="44" spans="1:12" s="99" customFormat="1" ht="13.5" customHeight="1">
      <c r="A44" s="505"/>
      <c r="B44" s="506"/>
      <c r="C44" s="506"/>
      <c r="D44" s="506"/>
      <c r="E44" s="506"/>
      <c r="F44" s="506"/>
      <c r="G44" s="507"/>
      <c r="L44" s="100"/>
    </row>
    <row r="45" spans="1:12" s="99" customFormat="1" ht="13.5" customHeight="1">
      <c r="A45" s="505"/>
      <c r="B45" s="506"/>
      <c r="C45" s="506"/>
      <c r="D45" s="506"/>
      <c r="E45" s="506"/>
      <c r="F45" s="506"/>
      <c r="G45" s="507"/>
      <c r="L45" s="100"/>
    </row>
    <row r="46" spans="1:12" s="99" customFormat="1" ht="13.5" customHeight="1">
      <c r="A46" s="505"/>
      <c r="B46" s="506"/>
      <c r="C46" s="506"/>
      <c r="D46" s="506"/>
      <c r="E46" s="506"/>
      <c r="F46" s="506"/>
      <c r="G46" s="507"/>
      <c r="L46" s="100"/>
    </row>
    <row r="47" spans="1:12" s="99" customFormat="1" ht="13.5" customHeight="1">
      <c r="A47" s="505"/>
      <c r="B47" s="506"/>
      <c r="C47" s="506"/>
      <c r="D47" s="506"/>
      <c r="E47" s="506"/>
      <c r="F47" s="506"/>
      <c r="G47" s="507"/>
      <c r="L47" s="100"/>
    </row>
    <row r="48" spans="1:12" s="99" customFormat="1" ht="13.5" customHeight="1">
      <c r="A48" s="505"/>
      <c r="B48" s="506"/>
      <c r="C48" s="506"/>
      <c r="D48" s="506"/>
      <c r="E48" s="506"/>
      <c r="F48" s="506"/>
      <c r="G48" s="507"/>
      <c r="L48" s="100"/>
    </row>
    <row r="49" spans="1:12" s="99" customFormat="1" ht="13.5" customHeight="1">
      <c r="A49" s="505"/>
      <c r="B49" s="506"/>
      <c r="C49" s="506"/>
      <c r="D49" s="506"/>
      <c r="E49" s="506"/>
      <c r="F49" s="506"/>
      <c r="G49" s="507"/>
      <c r="L49" s="100"/>
    </row>
    <row r="50" spans="1:12" s="99" customFormat="1" ht="13.5" customHeight="1">
      <c r="A50" s="505"/>
      <c r="B50" s="506"/>
      <c r="C50" s="506"/>
      <c r="D50" s="506"/>
      <c r="E50" s="506"/>
      <c r="F50" s="506"/>
      <c r="G50" s="507"/>
      <c r="L50" s="100"/>
    </row>
    <row r="51" spans="1:12" s="99" customFormat="1" ht="13.5" customHeight="1">
      <c r="A51" s="505"/>
      <c r="B51" s="506"/>
      <c r="C51" s="506"/>
      <c r="D51" s="506"/>
      <c r="E51" s="506"/>
      <c r="F51" s="506"/>
      <c r="G51" s="507"/>
      <c r="L51" s="100"/>
    </row>
    <row r="52" spans="1:12" s="99" customFormat="1" ht="13.5" customHeight="1">
      <c r="A52" s="505"/>
      <c r="B52" s="506"/>
      <c r="C52" s="506"/>
      <c r="D52" s="506"/>
      <c r="E52" s="506"/>
      <c r="F52" s="506"/>
      <c r="G52" s="507"/>
      <c r="L52" s="100"/>
    </row>
    <row r="53" spans="1:12" s="99" customFormat="1" ht="13.5" customHeight="1">
      <c r="A53" s="505"/>
      <c r="B53" s="506"/>
      <c r="C53" s="506"/>
      <c r="D53" s="506"/>
      <c r="E53" s="506"/>
      <c r="F53" s="506"/>
      <c r="G53" s="507"/>
      <c r="L53" s="100"/>
    </row>
    <row r="54" spans="1:12" s="99" customFormat="1" ht="13.5" customHeight="1">
      <c r="A54" s="505"/>
      <c r="B54" s="506"/>
      <c r="C54" s="506"/>
      <c r="D54" s="506"/>
      <c r="E54" s="506"/>
      <c r="F54" s="506"/>
      <c r="G54" s="507"/>
      <c r="L54" s="100"/>
    </row>
    <row r="55" spans="1:12" s="99" customFormat="1" ht="13.5" customHeight="1">
      <c r="A55" s="505"/>
      <c r="B55" s="506"/>
      <c r="C55" s="506"/>
      <c r="D55" s="506"/>
      <c r="E55" s="506"/>
      <c r="F55" s="506"/>
      <c r="G55" s="507"/>
      <c r="L55" s="100"/>
    </row>
    <row r="56" spans="1:12" s="99" customFormat="1" ht="13.5" customHeight="1">
      <c r="A56" s="505"/>
      <c r="B56" s="506"/>
      <c r="C56" s="506"/>
      <c r="D56" s="506"/>
      <c r="E56" s="506"/>
      <c r="F56" s="506"/>
      <c r="G56" s="507"/>
      <c r="L56" s="100"/>
    </row>
    <row r="57" spans="1:12" s="99" customFormat="1" ht="13.5" customHeight="1">
      <c r="A57" s="505"/>
      <c r="B57" s="506"/>
      <c r="C57" s="506"/>
      <c r="D57" s="506"/>
      <c r="E57" s="506"/>
      <c r="F57" s="506"/>
      <c r="G57" s="507"/>
      <c r="L57" s="100"/>
    </row>
    <row r="58" spans="1:12" s="100" customFormat="1" ht="13.5" customHeight="1">
      <c r="A58" s="505"/>
      <c r="B58" s="506"/>
      <c r="C58" s="506"/>
      <c r="D58" s="506"/>
      <c r="E58" s="506"/>
      <c r="F58" s="506"/>
      <c r="G58" s="507"/>
      <c r="H58" s="99"/>
      <c r="I58" s="99"/>
      <c r="J58" s="99"/>
      <c r="K58" s="99"/>
    </row>
    <row r="59" spans="1:12" s="79" customFormat="1" ht="21">
      <c r="A59" s="108" t="s">
        <v>32</v>
      </c>
      <c r="B59" s="116">
        <f>$B$1</f>
        <v>6</v>
      </c>
      <c r="C59" s="110" t="s">
        <v>40</v>
      </c>
      <c r="D59" s="111" t="str">
        <f>$E$1</f>
        <v>一日毎</v>
      </c>
      <c r="E59" s="594" t="str">
        <f>$B$2</f>
        <v>ベアズ・エンデュアランス</v>
      </c>
      <c r="F59" s="595"/>
      <c r="G59" s="596"/>
      <c r="L59" s="98"/>
    </row>
  </sheetData>
  <mergeCells count="62">
    <mergeCell ref="A54:G54"/>
    <mergeCell ref="A49:G49"/>
    <mergeCell ref="A50:G50"/>
    <mergeCell ref="A51:G51"/>
    <mergeCell ref="A52:G52"/>
    <mergeCell ref="A53:G53"/>
    <mergeCell ref="E59:G59"/>
    <mergeCell ref="A56:G56"/>
    <mergeCell ref="A57:G57"/>
    <mergeCell ref="A58:G58"/>
    <mergeCell ref="A55:G55"/>
    <mergeCell ref="A39:G39"/>
    <mergeCell ref="A40:G40"/>
    <mergeCell ref="A46:G46"/>
    <mergeCell ref="A47:G47"/>
    <mergeCell ref="A48:G48"/>
    <mergeCell ref="A41:G41"/>
    <mergeCell ref="A42:G42"/>
    <mergeCell ref="A43:G43"/>
    <mergeCell ref="A44:G44"/>
    <mergeCell ref="A45:G45"/>
    <mergeCell ref="A38:G38"/>
    <mergeCell ref="A28:G28"/>
    <mergeCell ref="A29:G29"/>
    <mergeCell ref="A30:G30"/>
    <mergeCell ref="A31:G31"/>
    <mergeCell ref="A32:G32"/>
    <mergeCell ref="A33:G33"/>
    <mergeCell ref="A34:G34"/>
    <mergeCell ref="A35:G35"/>
    <mergeCell ref="A36:G36"/>
    <mergeCell ref="A37:G37"/>
    <mergeCell ref="B13:G13"/>
    <mergeCell ref="B14:G14"/>
    <mergeCell ref="B17:G17"/>
    <mergeCell ref="B12:G12"/>
    <mergeCell ref="B15:G15"/>
    <mergeCell ref="A25:G25"/>
    <mergeCell ref="A26:G26"/>
    <mergeCell ref="A27:G27"/>
    <mergeCell ref="B16:G16"/>
    <mergeCell ref="B18:G18"/>
    <mergeCell ref="A19:G19"/>
    <mergeCell ref="A20:G20"/>
    <mergeCell ref="A21:G21"/>
    <mergeCell ref="A24:G24"/>
    <mergeCell ref="A22:G22"/>
    <mergeCell ref="A23:G23"/>
    <mergeCell ref="J9:K9"/>
    <mergeCell ref="B11:G11"/>
    <mergeCell ref="B1:C1"/>
    <mergeCell ref="F1:G1"/>
    <mergeCell ref="B2:G2"/>
    <mergeCell ref="B4:G4"/>
    <mergeCell ref="B5:G5"/>
    <mergeCell ref="B6:D6"/>
    <mergeCell ref="B7:D7"/>
    <mergeCell ref="B8:G8"/>
    <mergeCell ref="B9:G9"/>
    <mergeCell ref="B10:G10"/>
    <mergeCell ref="H4:L4"/>
    <mergeCell ref="J11:K11"/>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基本!$A$16:$A$19</xm:f>
          </x14:formula1>
          <xm:sqref>K8</xm:sqref>
        </x14:dataValidation>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基本!$D$27:$D$31</xm:f>
          </x14:formula1>
          <xm:sqref>I7</xm:sqref>
        </x14:dataValidation>
        <x14:dataValidation type="list" allowBlank="1" showInputMessage="1" showErrorMessage="1">
          <x14:formula1>
            <xm:f>基本!$C$27:$C$37</xm:f>
          </x14:formula1>
          <xm:sqref>I15</xm:sqref>
        </x14:dataValidation>
        <x14:dataValidation type="list" allowBlank="1" showInputMessage="1" showErrorMessage="1">
          <x14:formula1>
            <xm:f>基本!$A$5:$A$10</xm:f>
          </x14:formula1>
          <xm:sqref>I10 I8 K15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7"/>
  <sheetViews>
    <sheetView tabSelected="1" topLeftCell="C1" workbookViewId="0">
      <selection activeCell="N2" sqref="N2"/>
    </sheetView>
  </sheetViews>
  <sheetFormatPr defaultRowHeight="13.5"/>
  <cols>
    <col min="1" max="1" width="8" customWidth="1"/>
    <col min="3" max="3" width="9.75" customWidth="1"/>
    <col min="5" max="5" width="9.5" bestFit="1" customWidth="1"/>
    <col min="15" max="15" width="9" style="46"/>
    <col min="16" max="16" width="7.375" customWidth="1"/>
  </cols>
  <sheetData>
    <row r="1" spans="1:16">
      <c r="A1" s="8" t="s">
        <v>30</v>
      </c>
      <c r="B1" s="403" t="s">
        <v>134</v>
      </c>
      <c r="C1" s="403"/>
      <c r="D1" s="403"/>
      <c r="E1" s="59" t="s">
        <v>105</v>
      </c>
      <c r="F1" s="59" t="s">
        <v>106</v>
      </c>
      <c r="G1" s="59" t="s">
        <v>108</v>
      </c>
      <c r="H1" s="59" t="s">
        <v>107</v>
      </c>
      <c r="I1" s="59" t="s">
        <v>109</v>
      </c>
      <c r="J1" s="73"/>
      <c r="M1" s="15" t="s">
        <v>63</v>
      </c>
      <c r="N1" s="159">
        <v>4.13</v>
      </c>
      <c r="O1" s="16"/>
    </row>
    <row r="2" spans="1:16">
      <c r="A2" s="8" t="s">
        <v>31</v>
      </c>
      <c r="B2" s="397" t="s">
        <v>358</v>
      </c>
      <c r="C2" s="407"/>
      <c r="D2" s="408"/>
      <c r="E2" s="60">
        <v>17</v>
      </c>
      <c r="F2" s="60">
        <v>7</v>
      </c>
      <c r="G2" s="60">
        <v>0</v>
      </c>
      <c r="H2" s="60">
        <v>9</v>
      </c>
      <c r="I2" s="60">
        <v>0</v>
      </c>
      <c r="J2" s="73"/>
      <c r="N2" t="s">
        <v>89</v>
      </c>
    </row>
    <row r="3" spans="1:16" ht="14.25" thickBot="1">
      <c r="A3" s="9" t="s">
        <v>32</v>
      </c>
      <c r="B3" s="44">
        <v>17</v>
      </c>
    </row>
    <row r="4" spans="1:16" ht="14.25" thickBot="1">
      <c r="A4" s="7"/>
      <c r="B4" s="6" t="s">
        <v>10</v>
      </c>
      <c r="C4" s="6" t="s">
        <v>11</v>
      </c>
      <c r="D4" s="6"/>
      <c r="F4" s="405" t="s">
        <v>38</v>
      </c>
      <c r="G4" s="406"/>
    </row>
    <row r="5" spans="1:16">
      <c r="A5" s="8" t="s">
        <v>12</v>
      </c>
      <c r="B5" s="5">
        <v>22</v>
      </c>
      <c r="C5" s="14">
        <f>INT(($B$5-10)/2)</f>
        <v>6</v>
      </c>
      <c r="D5" s="4">
        <f>INT($B$3/2)+$C5</f>
        <v>14</v>
      </c>
      <c r="F5" s="401" t="s">
        <v>634</v>
      </c>
      <c r="G5" s="401"/>
      <c r="H5" s="402"/>
      <c r="I5" s="402"/>
      <c r="J5" s="402"/>
      <c r="K5" s="402"/>
      <c r="L5" s="402"/>
      <c r="M5" s="402"/>
      <c r="N5" s="402"/>
      <c r="O5" s="61"/>
    </row>
    <row r="6" spans="1:16">
      <c r="A6" s="8" t="s">
        <v>13</v>
      </c>
      <c r="B6" s="5">
        <v>14</v>
      </c>
      <c r="C6" s="14">
        <f>INT(($B$6-10)/2)</f>
        <v>2</v>
      </c>
      <c r="D6" s="24">
        <f t="shared" ref="D6:D10" si="0">INT($B$3/2)+$C6</f>
        <v>10</v>
      </c>
      <c r="F6" s="45" t="s">
        <v>22</v>
      </c>
      <c r="G6" s="6" t="s">
        <v>23</v>
      </c>
      <c r="H6" s="6" t="s">
        <v>24</v>
      </c>
      <c r="I6" s="6" t="s">
        <v>25</v>
      </c>
      <c r="J6" s="6" t="s">
        <v>26</v>
      </c>
      <c r="K6" s="6" t="s">
        <v>27</v>
      </c>
      <c r="L6" s="6" t="s">
        <v>84</v>
      </c>
      <c r="M6" s="6" t="s">
        <v>28</v>
      </c>
      <c r="N6" s="6" t="s">
        <v>29</v>
      </c>
      <c r="O6" s="59" t="s">
        <v>111</v>
      </c>
      <c r="P6" s="18" t="s">
        <v>34</v>
      </c>
    </row>
    <row r="7" spans="1:16">
      <c r="A7" s="8" t="s">
        <v>14</v>
      </c>
      <c r="B7" s="5">
        <v>12</v>
      </c>
      <c r="C7" s="14">
        <f>INT(($B$7-10)/2)</f>
        <v>1</v>
      </c>
      <c r="D7" s="24">
        <f t="shared" si="0"/>
        <v>9</v>
      </c>
      <c r="F7" s="124" t="s">
        <v>135</v>
      </c>
      <c r="G7" s="2">
        <f>I7+P7</f>
        <v>22</v>
      </c>
      <c r="H7" s="19" t="s">
        <v>12</v>
      </c>
      <c r="I7" s="21">
        <f>IF($H7 = "筋力",基本!$C$5,IF($H7 = "耐久力",基本!$C$6,IF($H7 = "敏捷力",基本!$C$7,IF($H7 = "知力",基本!$C$8,IF($H7 = "判断力",基本!$C$9,IF($H7 = "魅力",基本!$C$10,""))))))</f>
        <v>6</v>
      </c>
      <c r="J7" s="24">
        <f>INT($B$3/2)</f>
        <v>8</v>
      </c>
      <c r="K7" s="5">
        <v>2</v>
      </c>
      <c r="L7" s="5">
        <v>2</v>
      </c>
      <c r="M7" s="5">
        <v>4</v>
      </c>
      <c r="N7" s="5">
        <v>0</v>
      </c>
      <c r="O7" s="60">
        <v>0</v>
      </c>
      <c r="P7" s="17">
        <f>SUM(J7:O7)</f>
        <v>16</v>
      </c>
    </row>
    <row r="8" spans="1:16">
      <c r="A8" s="8" t="s">
        <v>15</v>
      </c>
      <c r="B8" s="5">
        <v>9</v>
      </c>
      <c r="C8" s="14">
        <f>INT(($B$8-10)/2)</f>
        <v>-1</v>
      </c>
      <c r="D8" s="24">
        <f t="shared" si="0"/>
        <v>7</v>
      </c>
      <c r="F8" s="394" t="s">
        <v>33</v>
      </c>
      <c r="G8" s="395"/>
      <c r="H8" s="396"/>
      <c r="I8" s="167" t="s">
        <v>34</v>
      </c>
      <c r="J8" s="6" t="s">
        <v>24</v>
      </c>
      <c r="K8" s="6" t="s">
        <v>25</v>
      </c>
      <c r="L8" s="20" t="s">
        <v>84</v>
      </c>
      <c r="M8" s="6" t="s">
        <v>28</v>
      </c>
      <c r="N8" s="6" t="s">
        <v>29</v>
      </c>
      <c r="O8" s="59" t="s">
        <v>111</v>
      </c>
      <c r="P8" s="18" t="s">
        <v>34</v>
      </c>
    </row>
    <row r="9" spans="1:16">
      <c r="A9" s="8" t="s">
        <v>16</v>
      </c>
      <c r="B9" s="5">
        <v>22</v>
      </c>
      <c r="C9" s="14">
        <f>INT(($B$9-10)/2)</f>
        <v>6</v>
      </c>
      <c r="D9" s="24">
        <f t="shared" si="0"/>
        <v>14</v>
      </c>
      <c r="F9" s="174">
        <v>1</v>
      </c>
      <c r="G9" s="169" t="s">
        <v>45</v>
      </c>
      <c r="H9" s="172">
        <v>10</v>
      </c>
      <c r="I9" s="171">
        <f>K9+P9</f>
        <v>12</v>
      </c>
      <c r="J9" s="43" t="s">
        <v>12</v>
      </c>
      <c r="K9" s="21">
        <f>IF($J9 = "筋力",基本!$C$5,IF($J9 = "耐久力",基本!$C$6,IF($J9 = "敏捷力",基本!$C$7,IF($J9 = "知力",基本!$C$8,IF($J9 = "判断力",基本!$C$9,IF($J9 = "魅力",基本!$C$10,""))))))</f>
        <v>6</v>
      </c>
      <c r="L9" s="5">
        <v>0</v>
      </c>
      <c r="M9" s="5">
        <v>4</v>
      </c>
      <c r="N9" s="5">
        <v>2</v>
      </c>
      <c r="O9" s="42">
        <v>0</v>
      </c>
      <c r="P9" s="17">
        <f>SUM(L9:O9)</f>
        <v>6</v>
      </c>
    </row>
    <row r="10" spans="1:16">
      <c r="A10" s="8" t="s">
        <v>17</v>
      </c>
      <c r="B10" s="5">
        <v>11</v>
      </c>
      <c r="C10" s="14">
        <f>INT(($B$10-10)/2)</f>
        <v>0</v>
      </c>
      <c r="D10" s="24">
        <f t="shared" si="0"/>
        <v>8</v>
      </c>
      <c r="F10" s="400" t="s">
        <v>35</v>
      </c>
      <c r="G10" s="400"/>
      <c r="H10" s="400" t="s">
        <v>36</v>
      </c>
      <c r="I10" s="400"/>
      <c r="J10" s="400"/>
      <c r="K10" s="400"/>
      <c r="L10" s="400" t="s">
        <v>37</v>
      </c>
      <c r="M10" s="400"/>
      <c r="N10" s="400"/>
      <c r="O10"/>
    </row>
    <row r="11" spans="1:16">
      <c r="A11" s="46"/>
      <c r="B11" s="46"/>
      <c r="C11" s="46"/>
      <c r="D11" s="46"/>
      <c r="F11" s="403" t="s">
        <v>629</v>
      </c>
      <c r="G11" s="404"/>
      <c r="H11" s="397" t="s">
        <v>635</v>
      </c>
      <c r="I11" s="398"/>
      <c r="J11" s="398"/>
      <c r="K11" s="399"/>
      <c r="L11" s="5">
        <v>4</v>
      </c>
      <c r="M11" s="4" t="s">
        <v>64</v>
      </c>
      <c r="N11" s="117">
        <v>8</v>
      </c>
      <c r="O11"/>
    </row>
    <row r="12" spans="1:16" ht="14.25" thickBot="1">
      <c r="A12" s="59" t="s">
        <v>87</v>
      </c>
      <c r="B12" s="29" t="s">
        <v>94</v>
      </c>
      <c r="C12" s="29" t="s">
        <v>95</v>
      </c>
      <c r="D12" s="59" t="s">
        <v>110</v>
      </c>
      <c r="F12" s="1"/>
      <c r="G12" s="1"/>
      <c r="H12" s="1"/>
      <c r="I12" s="1"/>
      <c r="J12" s="1"/>
      <c r="K12" s="1"/>
      <c r="L12" s="1"/>
      <c r="M12" s="1"/>
      <c r="N12" s="1"/>
      <c r="O12" s="28"/>
    </row>
    <row r="13" spans="1:16" ht="14.25" thickBot="1">
      <c r="A13" s="42">
        <f>$E$2+$B$9+($F$2*($B$3-1))</f>
        <v>151</v>
      </c>
      <c r="B13" s="32">
        <f>INT($A$13/2)</f>
        <v>75</v>
      </c>
      <c r="C13" s="32">
        <f>INT($A$13/4)</f>
        <v>37</v>
      </c>
      <c r="D13" s="32">
        <f>H2+C6</f>
        <v>11</v>
      </c>
      <c r="F13" s="405" t="s">
        <v>96</v>
      </c>
      <c r="G13" s="406"/>
      <c r="H13" s="1"/>
      <c r="I13" s="1"/>
      <c r="J13" s="1"/>
      <c r="K13" s="1"/>
      <c r="L13" s="1"/>
      <c r="M13" s="1"/>
      <c r="N13" s="1"/>
      <c r="O13" s="28"/>
    </row>
    <row r="14" spans="1:16">
      <c r="F14" s="401" t="s">
        <v>656</v>
      </c>
      <c r="G14" s="401"/>
      <c r="H14" s="402"/>
      <c r="I14" s="402"/>
      <c r="J14" s="402"/>
      <c r="K14" s="402"/>
      <c r="L14" s="402"/>
      <c r="M14" s="402"/>
      <c r="N14" s="402"/>
      <c r="O14" s="61"/>
    </row>
    <row r="15" spans="1:16">
      <c r="A15" s="59" t="s">
        <v>93</v>
      </c>
      <c r="B15" s="240">
        <v>6</v>
      </c>
      <c r="F15" s="6" t="s">
        <v>22</v>
      </c>
      <c r="G15" s="6" t="s">
        <v>23</v>
      </c>
      <c r="H15" s="6" t="s">
        <v>24</v>
      </c>
      <c r="I15" s="6" t="s">
        <v>25</v>
      </c>
      <c r="J15" s="6" t="s">
        <v>26</v>
      </c>
      <c r="K15" s="6" t="s">
        <v>27</v>
      </c>
      <c r="L15" s="20" t="s">
        <v>84</v>
      </c>
      <c r="M15" s="6" t="s">
        <v>28</v>
      </c>
      <c r="N15" s="6" t="s">
        <v>29</v>
      </c>
      <c r="O15" s="59" t="s">
        <v>111</v>
      </c>
      <c r="P15" s="18" t="s">
        <v>34</v>
      </c>
    </row>
    <row r="16" spans="1:16">
      <c r="A16" s="59" t="s">
        <v>92</v>
      </c>
      <c r="B16" s="240">
        <v>31</v>
      </c>
      <c r="F16" s="325" t="s">
        <v>135</v>
      </c>
      <c r="G16" s="58">
        <f>I16+P16</f>
        <v>21</v>
      </c>
      <c r="H16" s="19" t="s">
        <v>12</v>
      </c>
      <c r="I16" s="21">
        <f>IF($H16 = "筋力",基本!$C$5,IF($H16 = "耐久力",基本!$C$6,IF($H16 = "敏捷力",基本!$C$7,IF($H16 = "知力",基本!$C$8,IF($H16 = "判断力",基本!$C$9,IF($H16 = "魅力",基本!$C$10,""))))))</f>
        <v>6</v>
      </c>
      <c r="J16" s="2">
        <f>INT($B$3/2)</f>
        <v>8</v>
      </c>
      <c r="K16" s="5">
        <v>2</v>
      </c>
      <c r="L16" s="5">
        <v>2</v>
      </c>
      <c r="M16" s="5">
        <v>3</v>
      </c>
      <c r="N16" s="5">
        <v>0</v>
      </c>
      <c r="O16" s="60">
        <v>0</v>
      </c>
      <c r="P16" s="17">
        <f>SUM(J16:O16)</f>
        <v>15</v>
      </c>
    </row>
    <row r="17" spans="1:16">
      <c r="A17" s="59" t="s">
        <v>19</v>
      </c>
      <c r="B17" s="240">
        <v>29</v>
      </c>
      <c r="F17" s="394" t="s">
        <v>33</v>
      </c>
      <c r="G17" s="395"/>
      <c r="H17" s="396"/>
      <c r="I17" s="167" t="s">
        <v>34</v>
      </c>
      <c r="J17" s="6" t="s">
        <v>24</v>
      </c>
      <c r="K17" s="6" t="s">
        <v>25</v>
      </c>
      <c r="L17" s="20" t="s">
        <v>84</v>
      </c>
      <c r="M17" s="6" t="s">
        <v>28</v>
      </c>
      <c r="N17" s="6" t="s">
        <v>29</v>
      </c>
      <c r="O17" s="59" t="s">
        <v>111</v>
      </c>
      <c r="P17" s="18" t="s">
        <v>34</v>
      </c>
    </row>
    <row r="18" spans="1:16">
      <c r="A18" s="59" t="s">
        <v>20</v>
      </c>
      <c r="B18" s="240">
        <v>22</v>
      </c>
      <c r="F18" s="173">
        <v>1</v>
      </c>
      <c r="G18" s="169" t="s">
        <v>45</v>
      </c>
      <c r="H18" s="172">
        <v>6</v>
      </c>
      <c r="I18" s="171">
        <f>K18+P18</f>
        <v>11</v>
      </c>
      <c r="J18" s="19" t="s">
        <v>12</v>
      </c>
      <c r="K18" s="21">
        <f>IF($J18 = "筋力",基本!$C$5,IF($J18 = "耐久力",基本!$C$6,IF($J18 = "敏捷力",基本!$C$7,IF($J18 = "知力",基本!$C$8,IF($J18 = "判断力",基本!$C$9,IF($J18 = "魅力",基本!$C$10,""))))))</f>
        <v>6</v>
      </c>
      <c r="L18" s="5">
        <v>0</v>
      </c>
      <c r="M18" s="5">
        <v>3</v>
      </c>
      <c r="N18" s="5">
        <v>2</v>
      </c>
      <c r="O18" s="42">
        <v>0</v>
      </c>
      <c r="P18" s="58">
        <f>SUM(L18:O18)</f>
        <v>5</v>
      </c>
    </row>
    <row r="19" spans="1:16">
      <c r="A19" s="59" t="s">
        <v>21</v>
      </c>
      <c r="B19" s="240">
        <v>31</v>
      </c>
      <c r="F19" s="400" t="s">
        <v>35</v>
      </c>
      <c r="G19" s="400"/>
      <c r="H19" s="400" t="s">
        <v>36</v>
      </c>
      <c r="I19" s="400"/>
      <c r="J19" s="400"/>
      <c r="K19" s="400"/>
      <c r="L19" s="400" t="s">
        <v>37</v>
      </c>
      <c r="M19" s="400"/>
      <c r="N19" s="400"/>
    </row>
    <row r="20" spans="1:16">
      <c r="F20" s="404" t="s">
        <v>18</v>
      </c>
      <c r="G20" s="404"/>
      <c r="H20" s="397" t="s">
        <v>636</v>
      </c>
      <c r="I20" s="398"/>
      <c r="J20" s="398"/>
      <c r="K20" s="399"/>
      <c r="L20" s="5">
        <v>3</v>
      </c>
      <c r="M20" s="4" t="s">
        <v>45</v>
      </c>
      <c r="N20" s="5">
        <v>8</v>
      </c>
    </row>
    <row r="21" spans="1:16" ht="14.25" thickBot="1">
      <c r="A21" s="394" t="s">
        <v>131</v>
      </c>
      <c r="B21" s="395"/>
      <c r="C21" s="396"/>
      <c r="F21" s="1"/>
      <c r="G21" s="1"/>
      <c r="H21" s="1"/>
      <c r="I21" s="1"/>
      <c r="J21" s="1"/>
      <c r="K21" s="1"/>
      <c r="L21" s="1"/>
      <c r="M21" s="1"/>
      <c r="N21" s="1"/>
      <c r="O21" s="28"/>
    </row>
    <row r="22" spans="1:16" ht="14.25" thickBot="1">
      <c r="A22" s="392" t="s">
        <v>16</v>
      </c>
      <c r="B22" s="118" t="s">
        <v>10</v>
      </c>
      <c r="C22" s="118" t="s">
        <v>11</v>
      </c>
      <c r="D22" s="46"/>
      <c r="F22" s="405" t="s">
        <v>65</v>
      </c>
      <c r="G22" s="406"/>
      <c r="H22" s="1"/>
      <c r="I22" s="1"/>
      <c r="J22" s="1"/>
      <c r="K22" s="1"/>
      <c r="L22" s="1"/>
      <c r="M22" s="1"/>
      <c r="N22" s="1"/>
      <c r="O22" s="28"/>
    </row>
    <row r="23" spans="1:16">
      <c r="A23" s="393"/>
      <c r="B23" s="119">
        <v>16</v>
      </c>
      <c r="C23" s="32">
        <f>INT((B23-10)/2)</f>
        <v>3</v>
      </c>
      <c r="D23" s="46"/>
      <c r="F23" s="401" t="s">
        <v>634</v>
      </c>
      <c r="G23" s="401"/>
      <c r="H23" s="402"/>
      <c r="I23" s="402"/>
      <c r="J23" s="402"/>
      <c r="K23" s="402"/>
      <c r="L23" s="402"/>
      <c r="M23" s="402"/>
      <c r="N23" s="402"/>
      <c r="O23" s="61"/>
    </row>
    <row r="24" spans="1:16">
      <c r="B24" s="46"/>
      <c r="C24" s="46"/>
      <c r="D24" s="46"/>
      <c r="F24" s="6" t="s">
        <v>22</v>
      </c>
      <c r="G24" s="6" t="s">
        <v>23</v>
      </c>
      <c r="H24" s="6" t="s">
        <v>24</v>
      </c>
      <c r="I24" s="6" t="s">
        <v>25</v>
      </c>
      <c r="J24" s="6" t="s">
        <v>26</v>
      </c>
      <c r="K24" s="6" t="s">
        <v>27</v>
      </c>
      <c r="L24" s="20" t="s">
        <v>84</v>
      </c>
      <c r="M24" s="6" t="s">
        <v>28</v>
      </c>
      <c r="N24" s="6" t="s">
        <v>29</v>
      </c>
      <c r="O24" s="59" t="s">
        <v>111</v>
      </c>
      <c r="P24" s="18" t="s">
        <v>34</v>
      </c>
    </row>
    <row r="25" spans="1:16">
      <c r="B25" s="46"/>
      <c r="C25" s="46"/>
      <c r="D25" s="46"/>
      <c r="F25" s="121" t="s">
        <v>65</v>
      </c>
      <c r="G25" s="58">
        <f>I25+P25</f>
        <v>22</v>
      </c>
      <c r="H25" s="19" t="s">
        <v>12</v>
      </c>
      <c r="I25" s="21">
        <f>IF($H25 = "筋力",基本!$C$5,IF($H25 = "耐久力",基本!$C$6,IF($H25 = "敏捷力",基本!$C$7,IF($H25 = "知力",基本!$C$8,IF($H25 = "判断力",基本!$C$9,IF($H25 = "魅力",基本!$C$10,""))))))</f>
        <v>6</v>
      </c>
      <c r="J25" s="2">
        <f>INT($B$3/2)</f>
        <v>8</v>
      </c>
      <c r="K25" s="5">
        <v>2</v>
      </c>
      <c r="L25" s="5">
        <v>2</v>
      </c>
      <c r="M25" s="5">
        <v>4</v>
      </c>
      <c r="N25" s="5">
        <v>0</v>
      </c>
      <c r="O25" s="60">
        <v>0</v>
      </c>
      <c r="P25" s="58">
        <f>SUM(J25:O25)</f>
        <v>16</v>
      </c>
    </row>
    <row r="26" spans="1:16">
      <c r="F26" s="394" t="s">
        <v>33</v>
      </c>
      <c r="G26" s="395"/>
      <c r="H26" s="396"/>
      <c r="I26" s="167" t="s">
        <v>34</v>
      </c>
      <c r="J26" s="6" t="s">
        <v>24</v>
      </c>
      <c r="K26" s="6" t="s">
        <v>25</v>
      </c>
      <c r="L26" s="20" t="s">
        <v>84</v>
      </c>
      <c r="M26" s="6" t="s">
        <v>28</v>
      </c>
      <c r="N26" s="6" t="s">
        <v>29</v>
      </c>
      <c r="O26" s="59" t="s">
        <v>111</v>
      </c>
      <c r="P26" s="18" t="s">
        <v>34</v>
      </c>
    </row>
    <row r="27" spans="1:16">
      <c r="A27" s="22" t="s">
        <v>69</v>
      </c>
      <c r="B27" s="22" t="s">
        <v>67</v>
      </c>
      <c r="C27" s="22" t="s">
        <v>74</v>
      </c>
      <c r="D27" s="22" t="str">
        <f>IF($F$4="","",$F$4)</f>
        <v>近接基礎</v>
      </c>
      <c r="F27" s="173">
        <v>1</v>
      </c>
      <c r="G27" s="169" t="s">
        <v>45</v>
      </c>
      <c r="H27" s="172">
        <v>10</v>
      </c>
      <c r="I27" s="171">
        <f>K27+P27</f>
        <v>12</v>
      </c>
      <c r="J27" s="19" t="s">
        <v>12</v>
      </c>
      <c r="K27" s="21">
        <f>IF($J27 = "筋力",基本!$C$5,IF($J27 = "耐久力",基本!$C$6,IF($J27 = "敏捷力",基本!$C$7,IF($J27 = "知力",基本!$C$8,IF($J27 = "判断力",基本!$C$9,IF($J27 = "魅力",基本!$C$10,""))))))</f>
        <v>6</v>
      </c>
      <c r="L27" s="43">
        <v>0</v>
      </c>
      <c r="M27" s="43">
        <v>4</v>
      </c>
      <c r="N27" s="43">
        <v>2</v>
      </c>
      <c r="O27" s="42">
        <v>0</v>
      </c>
      <c r="P27" s="58">
        <f>SUM(L27:O27)</f>
        <v>6</v>
      </c>
    </row>
    <row r="28" spans="1:16">
      <c r="A28" s="22" t="s">
        <v>70</v>
      </c>
      <c r="B28" s="22" t="s">
        <v>72</v>
      </c>
      <c r="C28" s="22" t="s">
        <v>75</v>
      </c>
      <c r="D28" s="22" t="str">
        <f>IF($F$13="","",$F$13)</f>
        <v>遠隔基礎</v>
      </c>
      <c r="F28" s="400" t="s">
        <v>35</v>
      </c>
      <c r="G28" s="400"/>
      <c r="H28" s="400" t="s">
        <v>36</v>
      </c>
      <c r="I28" s="400"/>
      <c r="J28" s="400"/>
      <c r="K28" s="400"/>
      <c r="L28" s="400" t="s">
        <v>37</v>
      </c>
      <c r="M28" s="400"/>
      <c r="N28" s="400"/>
    </row>
    <row r="29" spans="1:16">
      <c r="A29" s="22" t="s">
        <v>71</v>
      </c>
      <c r="B29" s="22" t="s">
        <v>73</v>
      </c>
      <c r="C29" s="22" t="s">
        <v>76</v>
      </c>
      <c r="D29" s="22" t="str">
        <f>IF($F$22="","",$F$22)</f>
        <v>パワー</v>
      </c>
      <c r="F29" s="404" t="s">
        <v>18</v>
      </c>
      <c r="G29" s="404"/>
      <c r="H29" s="397" t="s">
        <v>635</v>
      </c>
      <c r="I29" s="398"/>
      <c r="J29" s="398"/>
      <c r="K29" s="399"/>
      <c r="L29" s="5">
        <v>4</v>
      </c>
      <c r="M29" s="4" t="s">
        <v>45</v>
      </c>
      <c r="N29" s="117">
        <v>8</v>
      </c>
    </row>
    <row r="30" spans="1:16" ht="14.25" thickBot="1">
      <c r="A30" s="22" t="s">
        <v>83</v>
      </c>
      <c r="B30" s="22" t="s">
        <v>99</v>
      </c>
      <c r="C30" s="22" t="s">
        <v>77</v>
      </c>
      <c r="D30" s="22" t="str">
        <f>IF($F$31="","",$F$31)</f>
        <v>つかみ</v>
      </c>
    </row>
    <row r="31" spans="1:16" ht="14.25" thickBot="1">
      <c r="A31" s="22" t="s">
        <v>98</v>
      </c>
      <c r="B31" s="22"/>
      <c r="C31" s="22" t="s">
        <v>78</v>
      </c>
      <c r="D31" s="22" t="str">
        <f>IF($F$40="","",$F$40)</f>
        <v>素手</v>
      </c>
      <c r="F31" s="405" t="s">
        <v>639</v>
      </c>
      <c r="G31" s="406"/>
      <c r="H31" s="1"/>
      <c r="I31" s="1"/>
      <c r="J31" s="1"/>
      <c r="K31" s="1"/>
      <c r="L31" s="1"/>
      <c r="M31" s="1"/>
      <c r="N31" s="1"/>
      <c r="O31" s="28"/>
    </row>
    <row r="32" spans="1:16">
      <c r="A32" s="22" t="s">
        <v>102</v>
      </c>
      <c r="C32" s="22" t="s">
        <v>79</v>
      </c>
      <c r="F32" s="401" t="s">
        <v>640</v>
      </c>
      <c r="G32" s="401"/>
      <c r="H32" s="402"/>
      <c r="I32" s="402"/>
      <c r="J32" s="402"/>
      <c r="K32" s="402"/>
      <c r="L32" s="402"/>
      <c r="M32" s="402"/>
      <c r="N32" s="402"/>
      <c r="O32" s="61"/>
    </row>
    <row r="33" spans="1:16">
      <c r="A33" s="22"/>
      <c r="C33" s="22" t="s">
        <v>68</v>
      </c>
      <c r="F33" s="6" t="s">
        <v>22</v>
      </c>
      <c r="G33" s="6" t="s">
        <v>23</v>
      </c>
      <c r="H33" s="6" t="s">
        <v>24</v>
      </c>
      <c r="I33" s="6" t="s">
        <v>25</v>
      </c>
      <c r="J33" s="6" t="s">
        <v>26</v>
      </c>
      <c r="K33" s="6" t="s">
        <v>27</v>
      </c>
      <c r="L33" s="20" t="s">
        <v>84</v>
      </c>
      <c r="M33" s="6" t="s">
        <v>28</v>
      </c>
      <c r="N33" s="6" t="s">
        <v>29</v>
      </c>
      <c r="O33" s="59" t="s">
        <v>111</v>
      </c>
      <c r="P33" s="18" t="s">
        <v>34</v>
      </c>
    </row>
    <row r="34" spans="1:16">
      <c r="C34" s="22" t="s">
        <v>80</v>
      </c>
      <c r="F34" s="60" t="s">
        <v>97</v>
      </c>
      <c r="G34" s="58">
        <f>I34+P34</f>
        <v>14</v>
      </c>
      <c r="H34" s="19" t="s">
        <v>12</v>
      </c>
      <c r="I34" s="21">
        <f>IF($H34 = "筋力",基本!$C$5,IF($H34 = "耐久力",基本!$C$6,IF($H34 = "敏捷力",基本!$C$7,IF($H34 = "知力",基本!$C$8,IF($H34 = "判断力",基本!$C$9,IF($H34 = "魅力",基本!$C$10,""))))))</f>
        <v>6</v>
      </c>
      <c r="J34" s="4">
        <f>INT($B$3/2)</f>
        <v>8</v>
      </c>
      <c r="K34" s="5">
        <v>0</v>
      </c>
      <c r="L34" s="5"/>
      <c r="M34" s="5"/>
      <c r="N34" s="5">
        <v>0</v>
      </c>
      <c r="O34" s="60">
        <v>0</v>
      </c>
      <c r="P34" s="58">
        <f>SUM(J34:O34)</f>
        <v>8</v>
      </c>
    </row>
    <row r="35" spans="1:16">
      <c r="C35" s="22" t="s">
        <v>81</v>
      </c>
      <c r="F35" s="394" t="s">
        <v>4</v>
      </c>
      <c r="G35" s="395"/>
      <c r="H35" s="396"/>
      <c r="I35" s="167" t="s">
        <v>34</v>
      </c>
      <c r="J35" s="6" t="s">
        <v>24</v>
      </c>
      <c r="K35" s="6" t="s">
        <v>25</v>
      </c>
      <c r="L35" s="20" t="s">
        <v>84</v>
      </c>
      <c r="M35" s="6" t="s">
        <v>28</v>
      </c>
      <c r="N35" s="6" t="s">
        <v>29</v>
      </c>
      <c r="O35" s="59" t="s">
        <v>111</v>
      </c>
      <c r="P35" s="18" t="s">
        <v>34</v>
      </c>
    </row>
    <row r="36" spans="1:16">
      <c r="C36" s="22" t="s">
        <v>82</v>
      </c>
      <c r="F36" s="173"/>
      <c r="G36" s="169" t="s">
        <v>45</v>
      </c>
      <c r="H36" s="172"/>
      <c r="I36" s="171">
        <f>K36+P36</f>
        <v>6</v>
      </c>
      <c r="J36" s="19" t="s">
        <v>12</v>
      </c>
      <c r="K36" s="21">
        <f>IF($J36 = "筋力",基本!$C$5,IF($J36 = "耐久力",基本!$C$6,IF($J36 = "敏捷力",基本!$C$7,IF($J36 = "知力",基本!$C$8,IF($J36 = "判断力",基本!$C$9,IF($J36 = "魅力",基本!$C$10,""))))))</f>
        <v>6</v>
      </c>
      <c r="L36" s="5">
        <v>0</v>
      </c>
      <c r="M36" s="5"/>
      <c r="N36" s="5"/>
      <c r="O36" s="42">
        <v>0</v>
      </c>
      <c r="P36" s="58">
        <f>SUM(L36:O36)</f>
        <v>0</v>
      </c>
    </row>
    <row r="37" spans="1:16">
      <c r="C37" s="22"/>
      <c r="F37" s="400" t="s">
        <v>35</v>
      </c>
      <c r="G37" s="400"/>
      <c r="H37" s="400" t="s">
        <v>36</v>
      </c>
      <c r="I37" s="400"/>
      <c r="J37" s="400"/>
      <c r="K37" s="400"/>
      <c r="L37" s="400" t="s">
        <v>3</v>
      </c>
      <c r="M37" s="400"/>
      <c r="N37" s="400"/>
    </row>
    <row r="38" spans="1:16">
      <c r="F38" s="404"/>
      <c r="G38" s="404"/>
      <c r="H38" s="404"/>
      <c r="I38" s="404"/>
      <c r="J38" s="404"/>
      <c r="K38" s="404"/>
      <c r="L38" s="5"/>
      <c r="M38" s="4" t="s">
        <v>112</v>
      </c>
      <c r="N38" s="5"/>
    </row>
    <row r="39" spans="1:16" ht="14.25" thickBot="1"/>
    <row r="40" spans="1:16" ht="14.25" thickBot="1">
      <c r="F40" s="405" t="s">
        <v>525</v>
      </c>
      <c r="G40" s="406"/>
      <c r="H40" s="1"/>
      <c r="I40" s="1"/>
      <c r="J40" s="1"/>
      <c r="K40" s="1"/>
      <c r="L40" s="1"/>
      <c r="M40" s="1"/>
      <c r="N40" s="1"/>
      <c r="O40" s="28"/>
    </row>
    <row r="41" spans="1:16">
      <c r="F41" s="401" t="s">
        <v>637</v>
      </c>
      <c r="G41" s="401"/>
      <c r="H41" s="402"/>
      <c r="I41" s="402"/>
      <c r="J41" s="402"/>
      <c r="K41" s="402"/>
      <c r="L41" s="402"/>
      <c r="M41" s="402"/>
      <c r="N41" s="402"/>
      <c r="O41" s="61"/>
    </row>
    <row r="42" spans="1:16">
      <c r="F42" s="20" t="s">
        <v>22</v>
      </c>
      <c r="G42" s="20" t="s">
        <v>23</v>
      </c>
      <c r="H42" s="20" t="s">
        <v>24</v>
      </c>
      <c r="I42" s="20" t="s">
        <v>25</v>
      </c>
      <c r="J42" s="20" t="s">
        <v>26</v>
      </c>
      <c r="K42" s="20" t="s">
        <v>27</v>
      </c>
      <c r="L42" s="20" t="s">
        <v>84</v>
      </c>
      <c r="M42" s="20" t="s">
        <v>28</v>
      </c>
      <c r="N42" s="20" t="s">
        <v>29</v>
      </c>
      <c r="O42" s="59" t="s">
        <v>111</v>
      </c>
      <c r="P42" s="20" t="s">
        <v>34</v>
      </c>
    </row>
    <row r="43" spans="1:16">
      <c r="F43" s="60" t="s">
        <v>65</v>
      </c>
      <c r="G43" s="58">
        <f>I43+P43</f>
        <v>22</v>
      </c>
      <c r="H43" s="47" t="s">
        <v>12</v>
      </c>
      <c r="I43" s="21">
        <f>IF($H43 = "筋力",基本!$C$5,IF($H43 = "耐久力",基本!$C$6,IF($H43 = "敏捷力",基本!$C$7,IF($H43 = "知力",基本!$C$8,IF($H43 = "判断力",基本!$C$9,IF($H43 = "魅力",基本!$C$10,""))))))</f>
        <v>6</v>
      </c>
      <c r="J43" s="21">
        <f>INT($B$3/2)</f>
        <v>8</v>
      </c>
      <c r="K43" s="19">
        <v>2</v>
      </c>
      <c r="L43" s="19">
        <v>2</v>
      </c>
      <c r="M43" s="19">
        <v>4</v>
      </c>
      <c r="N43" s="19">
        <v>0</v>
      </c>
      <c r="O43" s="60">
        <v>0</v>
      </c>
      <c r="P43" s="58">
        <f>SUM(J43:O43)</f>
        <v>16</v>
      </c>
    </row>
    <row r="44" spans="1:16">
      <c r="F44" s="394" t="s">
        <v>4</v>
      </c>
      <c r="G44" s="395"/>
      <c r="H44" s="396"/>
      <c r="I44" s="167" t="s">
        <v>34</v>
      </c>
      <c r="J44" s="20" t="s">
        <v>24</v>
      </c>
      <c r="K44" s="20" t="s">
        <v>25</v>
      </c>
      <c r="L44" s="20" t="s">
        <v>84</v>
      </c>
      <c r="M44" s="20" t="s">
        <v>28</v>
      </c>
      <c r="N44" s="20" t="s">
        <v>29</v>
      </c>
      <c r="O44" s="59" t="s">
        <v>111</v>
      </c>
      <c r="P44" s="20" t="s">
        <v>34</v>
      </c>
    </row>
    <row r="45" spans="1:16">
      <c r="F45" s="173">
        <v>1</v>
      </c>
      <c r="G45" s="169" t="s">
        <v>45</v>
      </c>
      <c r="H45" s="172">
        <v>6</v>
      </c>
      <c r="I45" s="171">
        <f>K45+P45</f>
        <v>12</v>
      </c>
      <c r="J45" s="47" t="s">
        <v>12</v>
      </c>
      <c r="K45" s="21">
        <f>IF($J45 = "筋力",基本!$C$5,IF($J45 = "耐久力",基本!$C$6,IF($J45 = "敏捷力",基本!$C$7,IF($J45 = "知力",基本!$C$8,IF($J45 = "判断力",基本!$C$9,IF($J45 = "魅力",基本!$C$10,""))))))</f>
        <v>6</v>
      </c>
      <c r="L45" s="19">
        <v>0</v>
      </c>
      <c r="M45" s="19">
        <v>4</v>
      </c>
      <c r="N45" s="19">
        <v>2</v>
      </c>
      <c r="O45" s="42">
        <v>0</v>
      </c>
      <c r="P45" s="58">
        <f>SUM(L45:O45)</f>
        <v>6</v>
      </c>
    </row>
    <row r="46" spans="1:16">
      <c r="F46" s="394" t="s">
        <v>35</v>
      </c>
      <c r="G46" s="396"/>
      <c r="H46" s="394" t="s">
        <v>36</v>
      </c>
      <c r="I46" s="395"/>
      <c r="J46" s="395"/>
      <c r="K46" s="396"/>
      <c r="L46" s="394" t="s">
        <v>3</v>
      </c>
      <c r="M46" s="395"/>
      <c r="N46" s="396"/>
    </row>
    <row r="47" spans="1:16">
      <c r="F47" s="404" t="s">
        <v>526</v>
      </c>
      <c r="G47" s="404"/>
      <c r="H47" s="404" t="s">
        <v>638</v>
      </c>
      <c r="I47" s="404"/>
      <c r="J47" s="404"/>
      <c r="K47" s="404"/>
      <c r="L47" s="19">
        <v>4</v>
      </c>
      <c r="M47" s="21" t="s">
        <v>114</v>
      </c>
      <c r="N47" s="19">
        <v>6</v>
      </c>
    </row>
  </sheetData>
  <mergeCells count="44">
    <mergeCell ref="F47:G47"/>
    <mergeCell ref="H47:K47"/>
    <mergeCell ref="F32:N32"/>
    <mergeCell ref="F46:G46"/>
    <mergeCell ref="H46:K46"/>
    <mergeCell ref="L46:N46"/>
    <mergeCell ref="F44:H44"/>
    <mergeCell ref="F41:N41"/>
    <mergeCell ref="F31:G31"/>
    <mergeCell ref="F40:G40"/>
    <mergeCell ref="L37:N37"/>
    <mergeCell ref="F38:G38"/>
    <mergeCell ref="H38:K38"/>
    <mergeCell ref="B1:D1"/>
    <mergeCell ref="B2:D2"/>
    <mergeCell ref="F37:G37"/>
    <mergeCell ref="H37:K37"/>
    <mergeCell ref="F29:G29"/>
    <mergeCell ref="H29:K29"/>
    <mergeCell ref="F23:N23"/>
    <mergeCell ref="F28:G28"/>
    <mergeCell ref="H28:K28"/>
    <mergeCell ref="L28:N28"/>
    <mergeCell ref="F20:G20"/>
    <mergeCell ref="F4:G4"/>
    <mergeCell ref="F5:N5"/>
    <mergeCell ref="F8:H8"/>
    <mergeCell ref="F26:H26"/>
    <mergeCell ref="F35:H35"/>
    <mergeCell ref="A22:A23"/>
    <mergeCell ref="A21:C21"/>
    <mergeCell ref="H20:K20"/>
    <mergeCell ref="L10:N10"/>
    <mergeCell ref="F19:G19"/>
    <mergeCell ref="H19:K19"/>
    <mergeCell ref="L19:N19"/>
    <mergeCell ref="F14:N14"/>
    <mergeCell ref="F10:G10"/>
    <mergeCell ref="F11:G11"/>
    <mergeCell ref="H10:K10"/>
    <mergeCell ref="H11:K11"/>
    <mergeCell ref="F13:G13"/>
    <mergeCell ref="F17:H17"/>
    <mergeCell ref="F22:G22"/>
  </mergeCells>
  <phoneticPr fontId="1"/>
  <dataValidations count="1">
    <dataValidation type="list" allowBlank="1" showInputMessage="1" showErrorMessage="1" sqref="H7 J45 H43 H34 J36 J27 H25 H16 J18 J9">
      <formula1>$A$5:$A$10</formula1>
    </dataValidation>
  </dataValidations>
  <pageMargins left="0.23622047244094491" right="0.23622047244094491" top="0.74803149606299213" bottom="0.74803149606299213" header="0.31496062992125984" footer="0.31496062992125984"/>
  <pageSetup paperSize="9" orientation="landscape" horizontalDpi="300" verticalDpi="300" r:id="rId1"/>
  <headerFooter>
    <oddHeader>&amp;Cリュカオン</oddHead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M59"/>
  <sheetViews>
    <sheetView workbookViewId="0">
      <selection activeCell="B2" sqref="B2:G2"/>
    </sheetView>
  </sheetViews>
  <sheetFormatPr defaultRowHeight="13.5"/>
  <cols>
    <col min="1" max="1" width="7.875" style="120" customWidth="1"/>
    <col min="2" max="2" width="8.5" style="120" customWidth="1"/>
    <col min="3" max="3" width="6.625" style="120" customWidth="1"/>
    <col min="4" max="4" width="15.75" style="120" customWidth="1"/>
    <col min="5" max="6" width="15.75" style="79" customWidth="1"/>
    <col min="7" max="7" width="18.25" style="79" customWidth="1"/>
    <col min="8" max="8" width="17.375" style="79" customWidth="1"/>
    <col min="9" max="9" width="14.625" style="79" customWidth="1"/>
    <col min="10" max="10" width="8.375" style="79" customWidth="1"/>
    <col min="11" max="11" width="7.5" style="79" customWidth="1"/>
    <col min="12" max="12" width="7.875" style="120" customWidth="1"/>
    <col min="13" max="13" width="9.25" style="120" customWidth="1"/>
    <col min="14" max="14" width="12.375" style="120" customWidth="1"/>
    <col min="15" max="16384" width="9" style="120"/>
  </cols>
  <sheetData>
    <row r="1" spans="1:13" ht="21">
      <c r="A1" s="105" t="s">
        <v>32</v>
      </c>
      <c r="B1" s="600">
        <v>10</v>
      </c>
      <c r="C1" s="601"/>
      <c r="D1" s="106" t="s">
        <v>40</v>
      </c>
      <c r="E1" s="107" t="s">
        <v>127</v>
      </c>
      <c r="F1" s="602"/>
      <c r="G1" s="603"/>
      <c r="H1" s="84" t="s">
        <v>55</v>
      </c>
    </row>
    <row r="2" spans="1:13" ht="24.75" customHeight="1">
      <c r="A2" s="106" t="s">
        <v>0</v>
      </c>
      <c r="B2" s="604" t="s">
        <v>584</v>
      </c>
      <c r="C2" s="604"/>
      <c r="D2" s="604"/>
      <c r="E2" s="604"/>
      <c r="F2" s="604"/>
      <c r="G2" s="604"/>
      <c r="H2" s="84" t="s">
        <v>56</v>
      </c>
    </row>
    <row r="3" spans="1:13" ht="19.5" customHeight="1">
      <c r="A3" s="90" t="s">
        <v>48</v>
      </c>
      <c r="B3" s="79"/>
      <c r="C3" s="79"/>
      <c r="D3" s="79"/>
      <c r="I3" s="84"/>
    </row>
    <row r="4" spans="1:13">
      <c r="A4" s="67" t="s">
        <v>46</v>
      </c>
      <c r="B4" s="480" t="s">
        <v>292</v>
      </c>
      <c r="C4" s="481"/>
      <c r="D4" s="481"/>
      <c r="E4" s="481"/>
      <c r="F4" s="481"/>
      <c r="G4" s="482"/>
      <c r="H4" s="394" t="s">
        <v>321</v>
      </c>
      <c r="I4" s="395"/>
      <c r="J4" s="395"/>
      <c r="K4" s="395"/>
      <c r="L4" s="396"/>
    </row>
    <row r="5" spans="1:13">
      <c r="A5" s="68" t="s">
        <v>39</v>
      </c>
      <c r="B5" s="480" t="s">
        <v>293</v>
      </c>
      <c r="C5" s="481"/>
      <c r="D5" s="481"/>
      <c r="E5" s="481"/>
      <c r="F5" s="481"/>
      <c r="G5" s="482"/>
      <c r="H5" s="161" t="s">
        <v>43</v>
      </c>
      <c r="I5" s="163" t="s">
        <v>88</v>
      </c>
      <c r="J5" s="163"/>
    </row>
    <row r="6" spans="1:13">
      <c r="A6" s="68" t="s">
        <v>7</v>
      </c>
      <c r="B6" s="629" t="s">
        <v>295</v>
      </c>
      <c r="C6" s="630"/>
      <c r="D6" s="631"/>
      <c r="E6" s="161" t="s">
        <v>43</v>
      </c>
      <c r="F6" s="162" t="str">
        <f>IF($I$5 = 0,"", $I$5)</f>
        <v>使用者</v>
      </c>
      <c r="G6" s="162" t="str">
        <f>IF($J$5 = 0,"", $J$5)</f>
        <v/>
      </c>
      <c r="H6" s="161" t="s">
        <v>66</v>
      </c>
      <c r="I6" s="163"/>
      <c r="J6" s="163"/>
    </row>
    <row r="7" spans="1:13">
      <c r="A7" s="69" t="s">
        <v>6</v>
      </c>
      <c r="B7" s="480"/>
      <c r="C7" s="481"/>
      <c r="D7" s="482"/>
      <c r="E7" s="161" t="s">
        <v>66</v>
      </c>
      <c r="F7" s="162" t="str">
        <f>IF($I$6 = 0,"", $I$6)</f>
        <v/>
      </c>
      <c r="G7" s="162" t="str">
        <f>IF($J$6 = 0,"", $J$6)</f>
        <v/>
      </c>
      <c r="H7" s="161" t="s">
        <v>85</v>
      </c>
      <c r="I7" s="163" t="s">
        <v>116</v>
      </c>
      <c r="J7" s="84" t="s">
        <v>62</v>
      </c>
      <c r="L7" s="176" t="s">
        <v>318</v>
      </c>
    </row>
    <row r="8" spans="1:13" ht="13.5" customHeight="1">
      <c r="A8" s="69" t="s">
        <v>179</v>
      </c>
      <c r="B8" s="474" t="s">
        <v>296</v>
      </c>
      <c r="C8" s="475"/>
      <c r="D8" s="475"/>
      <c r="E8" s="475"/>
      <c r="F8" s="475"/>
      <c r="G8" s="476"/>
      <c r="H8" s="161" t="s">
        <v>51</v>
      </c>
      <c r="I8" s="163" t="s">
        <v>138</v>
      </c>
      <c r="J8" s="162">
        <f>IF($I$8 = "筋力",基本!$C$5,IF($I$8 = "耐久力",基本!$C$6,IF($I$8 = "敏捷力",基本!$C$7,IF($I$8 = "知力",基本!$C$8,IF($I$8 = "判断力",基本!$C$9,IF($I$8 = "筋力",基本!$C$10,""))))))</f>
        <v>6</v>
      </c>
      <c r="K8" s="163" t="s">
        <v>90</v>
      </c>
      <c r="L8" s="177">
        <f>$J$8+$L$9+$I$9</f>
        <v>23</v>
      </c>
    </row>
    <row r="9" spans="1:13" ht="13.5" customHeight="1">
      <c r="A9" s="71" t="s">
        <v>61</v>
      </c>
      <c r="B9" s="474" t="s">
        <v>297</v>
      </c>
      <c r="C9" s="475"/>
      <c r="D9" s="475"/>
      <c r="E9" s="475"/>
      <c r="F9" s="475"/>
      <c r="G9" s="476"/>
      <c r="H9" s="161" t="s">
        <v>58</v>
      </c>
      <c r="I9" s="163">
        <v>1</v>
      </c>
      <c r="J9" s="394" t="s">
        <v>53</v>
      </c>
      <c r="K9" s="396"/>
      <c r="L9" s="162">
        <f>IF($I$7=基本!$F$4,基本!$P$7,IF($I$7=基本!$F$13,基本!$P$16,IF($I$7=基本!$F$22,基本!$P$25,IF($I$7=基本!$F$31,基本!$P$34,IF($I$7=基本!$F$40,基本!$P$43,0)))))</f>
        <v>16</v>
      </c>
    </row>
    <row r="10" spans="1:13" ht="13.5" customHeight="1">
      <c r="A10" s="71"/>
      <c r="B10" s="505" t="s">
        <v>298</v>
      </c>
      <c r="C10" s="506"/>
      <c r="D10" s="506"/>
      <c r="E10" s="506"/>
      <c r="F10" s="506"/>
      <c r="G10" s="507"/>
      <c r="H10" s="160" t="s">
        <v>52</v>
      </c>
      <c r="I10" s="163" t="s">
        <v>138</v>
      </c>
      <c r="J10" s="88">
        <f>IF($I$8 = "筋力",基本!$C$5,IF($I$10 = "耐久力",基本!$C$6,IF($I$10 = "敏捷力",基本!$C$7,IF($I$10 = "知力",基本!$C$8,IF($I$10 = "判断力",基本!$C$9,IF($I$10 = "筋力",基本!$C$10,""))))))</f>
        <v>6</v>
      </c>
      <c r="L10" s="79"/>
    </row>
    <row r="11" spans="1:13" ht="13.5" customHeight="1">
      <c r="A11" s="71"/>
      <c r="B11" s="505" t="s">
        <v>299</v>
      </c>
      <c r="C11" s="506"/>
      <c r="D11" s="506"/>
      <c r="E11" s="506"/>
      <c r="F11" s="506"/>
      <c r="G11" s="507"/>
      <c r="H11" s="161" t="s">
        <v>59</v>
      </c>
      <c r="I11" s="163">
        <v>0</v>
      </c>
      <c r="J11" s="394" t="s">
        <v>54</v>
      </c>
      <c r="K11" s="396"/>
      <c r="L11" s="162">
        <f>IF($I$7=基本!$F$4,基本!$P$9,IF($I$7=基本!$F$13,基本!$P$18,IF($I$7=基本!$F$22,基本!$P$27,IF($I$7=基本!$F$31,基本!$P$36,IF($I$7=基本!$F$40,基本!$P$45,0)))))</f>
        <v>6</v>
      </c>
    </row>
    <row r="12" spans="1:13">
      <c r="A12" s="71"/>
      <c r="B12" s="505"/>
      <c r="C12" s="506"/>
      <c r="D12" s="506"/>
      <c r="E12" s="506"/>
      <c r="F12" s="506"/>
      <c r="G12" s="507"/>
      <c r="J12" s="120"/>
      <c r="K12" s="120"/>
      <c r="L12" s="176" t="s">
        <v>318</v>
      </c>
    </row>
    <row r="13" spans="1:13" ht="13.5" customHeight="1">
      <c r="A13" s="71"/>
      <c r="B13" s="649"/>
      <c r="C13" s="650"/>
      <c r="D13" s="650"/>
      <c r="E13" s="650"/>
      <c r="F13" s="650"/>
      <c r="G13" s="651"/>
      <c r="H13" s="180" t="s">
        <v>86</v>
      </c>
      <c r="I13" s="163">
        <v>2</v>
      </c>
      <c r="J13" s="161" t="s">
        <v>44</v>
      </c>
      <c r="K13" s="163">
        <v>10</v>
      </c>
      <c r="L13" s="177">
        <f>$J$10+$L$11+$I$11</f>
        <v>12</v>
      </c>
    </row>
    <row r="14" spans="1:13" ht="13.5" customHeight="1">
      <c r="A14" s="71"/>
      <c r="B14" s="523"/>
      <c r="C14" s="524"/>
      <c r="D14" s="524"/>
      <c r="E14" s="524"/>
      <c r="F14" s="524"/>
      <c r="G14" s="525"/>
      <c r="H14" s="161" t="s">
        <v>50</v>
      </c>
      <c r="I14" s="32">
        <f>IF($I$7=基本!$F$4,基本!$L$11,IF($I$7=基本!$F$13,基本!$L$20,IF($I$7=基本!$F$22,基本!$L$29,IF($I$7=基本!$F$31,基本!$L$38,IF($I$7=基本!$F$40,基本!$L$47,0)))))</f>
        <v>4</v>
      </c>
      <c r="J14" s="180" t="s">
        <v>320</v>
      </c>
      <c r="K14" s="32">
        <f>IF($I$7=基本!$F$4,基本!$N$11,IF($I$7=基本!$F$13,基本!$N$20,IF($I$7=基本!$F$22,基本!$N$29,IF($I$7=基本!$F$31,基本!$N$38,IF($I$7=基本!$F$40,基本!$N$47,0)))))</f>
        <v>8</v>
      </c>
      <c r="L14" s="177">
        <f>$J$10+$L$11+$I$11+($I$13*$K$13)</f>
        <v>32</v>
      </c>
      <c r="M14" s="91"/>
    </row>
    <row r="15" spans="1:13" ht="13.5" customHeight="1">
      <c r="A15" s="71"/>
      <c r="B15" s="649"/>
      <c r="C15" s="650"/>
      <c r="D15" s="650"/>
      <c r="E15" s="650"/>
      <c r="F15" s="650"/>
      <c r="G15" s="651"/>
      <c r="H15" s="161" t="s">
        <v>60</v>
      </c>
      <c r="I15" s="163"/>
      <c r="J15" s="168" t="s">
        <v>315</v>
      </c>
      <c r="K15" s="170" t="s">
        <v>138</v>
      </c>
      <c r="L15" s="178">
        <f>IF($K$15 = "筋力",基本!$C$5,IF($K$15 = "耐久力",基本!$C$6,IF($K$15 = "敏捷力",基本!$C$7,IF($K$15 = "知力",基本!$C$8,IF($K$15 = "判断力",基本!$C$9,IF($K$15 = "魅力",基本!$C$10,""))))))</f>
        <v>6</v>
      </c>
    </row>
    <row r="16" spans="1:13" ht="13.5" customHeight="1">
      <c r="A16" s="71"/>
      <c r="B16" s="523"/>
      <c r="C16" s="524"/>
      <c r="D16" s="524"/>
      <c r="E16" s="524"/>
      <c r="F16" s="524"/>
      <c r="G16" s="525"/>
      <c r="H16" s="175" t="s">
        <v>316</v>
      </c>
      <c r="I16" s="163">
        <v>12</v>
      </c>
    </row>
    <row r="17" spans="1:12" ht="13.5" customHeight="1">
      <c r="A17" s="71"/>
      <c r="B17" s="523"/>
      <c r="C17" s="524"/>
      <c r="D17" s="524"/>
      <c r="E17" s="524"/>
      <c r="F17" s="524"/>
      <c r="G17" s="525"/>
      <c r="J17" s="120"/>
      <c r="K17" s="120"/>
    </row>
    <row r="18" spans="1:12" ht="13.5" customHeight="1">
      <c r="A18" s="72"/>
      <c r="B18" s="597"/>
      <c r="C18" s="598"/>
      <c r="D18" s="598"/>
      <c r="E18" s="598"/>
      <c r="F18" s="598"/>
      <c r="G18" s="599"/>
      <c r="J18" s="120"/>
      <c r="K18" s="120"/>
    </row>
    <row r="19" spans="1:12">
      <c r="A19" s="598"/>
      <c r="B19" s="598"/>
      <c r="C19" s="598"/>
      <c r="D19" s="598"/>
      <c r="E19" s="598"/>
      <c r="F19" s="598"/>
      <c r="G19" s="598"/>
    </row>
    <row r="20" spans="1:12" ht="13.5" customHeight="1">
      <c r="A20" s="531" t="s">
        <v>49</v>
      </c>
      <c r="B20" s="532"/>
      <c r="C20" s="532"/>
      <c r="D20" s="532"/>
      <c r="E20" s="532"/>
      <c r="F20" s="532"/>
      <c r="G20" s="533"/>
    </row>
    <row r="21" spans="1:12" s="99" customFormat="1" ht="13.5" customHeight="1">
      <c r="A21" s="646"/>
      <c r="B21" s="647"/>
      <c r="C21" s="647"/>
      <c r="D21" s="647"/>
      <c r="E21" s="647"/>
      <c r="F21" s="647"/>
      <c r="G21" s="648"/>
      <c r="L21" s="100"/>
    </row>
    <row r="22" spans="1:12" s="99" customFormat="1" ht="13.5" customHeight="1">
      <c r="A22" s="505" t="s">
        <v>305</v>
      </c>
      <c r="B22" s="506"/>
      <c r="C22" s="506"/>
      <c r="D22" s="506"/>
      <c r="E22" s="506"/>
      <c r="F22" s="506"/>
      <c r="G22" s="507"/>
      <c r="L22" s="100"/>
    </row>
    <row r="23" spans="1:12" s="99" customFormat="1" ht="13.5" customHeight="1">
      <c r="A23" s="505" t="s">
        <v>304</v>
      </c>
      <c r="B23" s="506"/>
      <c r="C23" s="506"/>
      <c r="D23" s="506"/>
      <c r="E23" s="506"/>
      <c r="F23" s="506"/>
      <c r="G23" s="507"/>
      <c r="L23" s="100"/>
    </row>
    <row r="24" spans="1:12" s="99" customFormat="1" ht="13.5" customHeight="1">
      <c r="A24" s="505"/>
      <c r="B24" s="506"/>
      <c r="C24" s="506"/>
      <c r="D24" s="506"/>
      <c r="E24" s="506"/>
      <c r="F24" s="506"/>
      <c r="G24" s="507"/>
      <c r="L24" s="100"/>
    </row>
    <row r="25" spans="1:12" s="99" customFormat="1" ht="13.5" customHeight="1">
      <c r="A25" s="505" t="s">
        <v>310</v>
      </c>
      <c r="B25" s="506"/>
      <c r="C25" s="506"/>
      <c r="D25" s="506"/>
      <c r="E25" s="506"/>
      <c r="F25" s="506"/>
      <c r="G25" s="507"/>
      <c r="L25" s="100"/>
    </row>
    <row r="26" spans="1:12" s="100" customFormat="1" ht="13.5" customHeight="1">
      <c r="A26" s="505" t="s">
        <v>306</v>
      </c>
      <c r="B26" s="506"/>
      <c r="C26" s="506"/>
      <c r="D26" s="506"/>
      <c r="E26" s="506"/>
      <c r="F26" s="506"/>
      <c r="G26" s="507"/>
      <c r="H26" s="99"/>
      <c r="I26" s="99"/>
      <c r="J26" s="99"/>
      <c r="K26" s="99"/>
    </row>
    <row r="27" spans="1:12" s="100" customFormat="1" ht="13.5" customHeight="1">
      <c r="A27" s="505"/>
      <c r="B27" s="506"/>
      <c r="C27" s="506"/>
      <c r="D27" s="506"/>
      <c r="E27" s="506"/>
      <c r="F27" s="506"/>
      <c r="G27" s="507"/>
      <c r="H27" s="99"/>
      <c r="I27" s="99"/>
      <c r="J27" s="99"/>
      <c r="K27" s="99"/>
    </row>
    <row r="28" spans="1:12" s="99" customFormat="1" ht="13.5" customHeight="1">
      <c r="A28" s="505" t="s">
        <v>307</v>
      </c>
      <c r="B28" s="506"/>
      <c r="C28" s="506"/>
      <c r="D28" s="506"/>
      <c r="E28" s="506"/>
      <c r="F28" s="506"/>
      <c r="G28" s="507"/>
      <c r="L28" s="100"/>
    </row>
    <row r="29" spans="1:12" s="99" customFormat="1" ht="13.5" customHeight="1">
      <c r="A29" s="505" t="s">
        <v>308</v>
      </c>
      <c r="B29" s="506"/>
      <c r="C29" s="506"/>
      <c r="D29" s="506"/>
      <c r="E29" s="506"/>
      <c r="F29" s="506"/>
      <c r="G29" s="507"/>
      <c r="L29" s="100"/>
    </row>
    <row r="30" spans="1:12" s="99" customFormat="1" ht="13.5" customHeight="1">
      <c r="A30" s="505" t="s">
        <v>311</v>
      </c>
      <c r="B30" s="506"/>
      <c r="C30" s="506"/>
      <c r="D30" s="506"/>
      <c r="E30" s="506"/>
      <c r="F30" s="506"/>
      <c r="G30" s="507"/>
      <c r="L30" s="100"/>
    </row>
    <row r="31" spans="1:12" s="99" customFormat="1" ht="13.5" customHeight="1">
      <c r="A31" s="505" t="s">
        <v>309</v>
      </c>
      <c r="B31" s="506"/>
      <c r="C31" s="506"/>
      <c r="D31" s="506"/>
      <c r="E31" s="506"/>
      <c r="F31" s="506"/>
      <c r="G31" s="507"/>
      <c r="L31" s="100"/>
    </row>
    <row r="32" spans="1:12" s="99" customFormat="1" ht="13.5" customHeight="1">
      <c r="A32" s="505" t="s">
        <v>312</v>
      </c>
      <c r="B32" s="506"/>
      <c r="C32" s="506"/>
      <c r="D32" s="506"/>
      <c r="E32" s="506"/>
      <c r="F32" s="506"/>
      <c r="G32" s="507"/>
      <c r="L32" s="100"/>
    </row>
    <row r="33" spans="1:12" s="99" customFormat="1" ht="13.5" customHeight="1">
      <c r="A33" s="505"/>
      <c r="B33" s="506"/>
      <c r="C33" s="506"/>
      <c r="D33" s="506"/>
      <c r="E33" s="506"/>
      <c r="F33" s="506"/>
      <c r="G33" s="507"/>
      <c r="L33" s="100"/>
    </row>
    <row r="34" spans="1:12" s="99" customFormat="1" ht="13.5" customHeight="1">
      <c r="A34" s="505"/>
      <c r="B34" s="506"/>
      <c r="C34" s="506"/>
      <c r="D34" s="506"/>
      <c r="E34" s="506"/>
      <c r="F34" s="506"/>
      <c r="G34" s="507"/>
      <c r="L34" s="100"/>
    </row>
    <row r="35" spans="1:12" s="99" customFormat="1" ht="13.5" customHeight="1">
      <c r="A35" s="505"/>
      <c r="B35" s="506"/>
      <c r="C35" s="506"/>
      <c r="D35" s="506"/>
      <c r="E35" s="506"/>
      <c r="F35" s="506"/>
      <c r="G35" s="507"/>
      <c r="L35" s="100"/>
    </row>
    <row r="36" spans="1:12" s="99" customFormat="1" ht="13.5" customHeight="1">
      <c r="A36" s="505"/>
      <c r="B36" s="506"/>
      <c r="C36" s="506"/>
      <c r="D36" s="506"/>
      <c r="E36" s="506"/>
      <c r="F36" s="506"/>
      <c r="G36" s="507"/>
      <c r="L36" s="100"/>
    </row>
    <row r="37" spans="1:12" s="99" customFormat="1" ht="13.5" customHeight="1">
      <c r="A37" s="505"/>
      <c r="B37" s="506"/>
      <c r="C37" s="506"/>
      <c r="D37" s="506"/>
      <c r="E37" s="506"/>
      <c r="F37" s="506"/>
      <c r="G37" s="507"/>
      <c r="L37" s="100"/>
    </row>
    <row r="38" spans="1:12" s="99" customFormat="1" ht="13.5" customHeight="1">
      <c r="A38" s="505"/>
      <c r="B38" s="506"/>
      <c r="C38" s="506"/>
      <c r="D38" s="506"/>
      <c r="E38" s="506"/>
      <c r="F38" s="506"/>
      <c r="G38" s="507"/>
      <c r="L38" s="100"/>
    </row>
    <row r="39" spans="1:12" s="99" customFormat="1" ht="13.5" customHeight="1">
      <c r="A39" s="505"/>
      <c r="B39" s="506"/>
      <c r="C39" s="506"/>
      <c r="D39" s="506"/>
      <c r="E39" s="506"/>
      <c r="F39" s="506"/>
      <c r="G39" s="507"/>
      <c r="L39" s="100"/>
    </row>
    <row r="40" spans="1:12" s="99" customFormat="1" ht="13.5" customHeight="1">
      <c r="A40" s="505"/>
      <c r="B40" s="506"/>
      <c r="C40" s="506"/>
      <c r="D40" s="506"/>
      <c r="E40" s="506"/>
      <c r="F40" s="506"/>
      <c r="G40" s="507"/>
      <c r="L40" s="100"/>
    </row>
    <row r="41" spans="1:12" s="99" customFormat="1" ht="13.5" customHeight="1">
      <c r="A41" s="505"/>
      <c r="B41" s="506"/>
      <c r="C41" s="506"/>
      <c r="D41" s="506"/>
      <c r="E41" s="506"/>
      <c r="F41" s="506"/>
      <c r="G41" s="507"/>
      <c r="L41" s="100"/>
    </row>
    <row r="42" spans="1:12" s="99" customFormat="1" ht="13.5" customHeight="1">
      <c r="A42" s="505"/>
      <c r="B42" s="506"/>
      <c r="C42" s="506"/>
      <c r="D42" s="506"/>
      <c r="E42" s="506"/>
      <c r="F42" s="506"/>
      <c r="G42" s="507"/>
      <c r="L42" s="100"/>
    </row>
    <row r="43" spans="1:12" s="99" customFormat="1" ht="13.5" customHeight="1">
      <c r="A43" s="505"/>
      <c r="B43" s="506"/>
      <c r="C43" s="506"/>
      <c r="D43" s="506"/>
      <c r="E43" s="506"/>
      <c r="F43" s="506"/>
      <c r="G43" s="507"/>
      <c r="L43" s="100"/>
    </row>
    <row r="44" spans="1:12" s="99" customFormat="1" ht="13.5" customHeight="1">
      <c r="A44" s="505"/>
      <c r="B44" s="506"/>
      <c r="C44" s="506"/>
      <c r="D44" s="506"/>
      <c r="E44" s="506"/>
      <c r="F44" s="506"/>
      <c r="G44" s="507"/>
      <c r="L44" s="100"/>
    </row>
    <row r="45" spans="1:12" s="99" customFormat="1" ht="13.5" customHeight="1">
      <c r="A45" s="505"/>
      <c r="B45" s="506"/>
      <c r="C45" s="506"/>
      <c r="D45" s="506"/>
      <c r="E45" s="506"/>
      <c r="F45" s="506"/>
      <c r="G45" s="507"/>
      <c r="L45" s="100"/>
    </row>
    <row r="46" spans="1:12" s="99" customFormat="1" ht="13.5" customHeight="1">
      <c r="A46" s="505"/>
      <c r="B46" s="506"/>
      <c r="C46" s="506"/>
      <c r="D46" s="506"/>
      <c r="E46" s="506"/>
      <c r="F46" s="506"/>
      <c r="G46" s="507"/>
      <c r="L46" s="100"/>
    </row>
    <row r="47" spans="1:12" s="99" customFormat="1" ht="13.5" customHeight="1">
      <c r="A47" s="505"/>
      <c r="B47" s="506"/>
      <c r="C47" s="506"/>
      <c r="D47" s="506"/>
      <c r="E47" s="506"/>
      <c r="F47" s="506"/>
      <c r="G47" s="507"/>
      <c r="L47" s="100"/>
    </row>
    <row r="48" spans="1:12" s="99" customFormat="1" ht="13.5" customHeight="1">
      <c r="A48" s="505"/>
      <c r="B48" s="506"/>
      <c r="C48" s="506"/>
      <c r="D48" s="506"/>
      <c r="E48" s="506"/>
      <c r="F48" s="506"/>
      <c r="G48" s="507"/>
      <c r="L48" s="100"/>
    </row>
    <row r="49" spans="1:12" s="99" customFormat="1" ht="13.5" customHeight="1">
      <c r="A49" s="505"/>
      <c r="B49" s="506"/>
      <c r="C49" s="506"/>
      <c r="D49" s="506"/>
      <c r="E49" s="506"/>
      <c r="F49" s="506"/>
      <c r="G49" s="507"/>
      <c r="L49" s="100"/>
    </row>
    <row r="50" spans="1:12" s="99" customFormat="1" ht="13.5" customHeight="1">
      <c r="A50" s="505"/>
      <c r="B50" s="506"/>
      <c r="C50" s="506"/>
      <c r="D50" s="506"/>
      <c r="E50" s="506"/>
      <c r="F50" s="506"/>
      <c r="G50" s="507"/>
      <c r="L50" s="100"/>
    </row>
    <row r="51" spans="1:12" s="99" customFormat="1" ht="13.5" customHeight="1">
      <c r="A51" s="505"/>
      <c r="B51" s="506"/>
      <c r="C51" s="506"/>
      <c r="D51" s="506"/>
      <c r="E51" s="506"/>
      <c r="F51" s="506"/>
      <c r="G51" s="507"/>
      <c r="L51" s="100"/>
    </row>
    <row r="52" spans="1:12" s="99" customFormat="1" ht="13.5" customHeight="1">
      <c r="A52" s="505"/>
      <c r="B52" s="506"/>
      <c r="C52" s="506"/>
      <c r="D52" s="506"/>
      <c r="E52" s="506"/>
      <c r="F52" s="506"/>
      <c r="G52" s="507"/>
      <c r="L52" s="100"/>
    </row>
    <row r="53" spans="1:12" s="99" customFormat="1" ht="13.5" customHeight="1">
      <c r="A53" s="505"/>
      <c r="B53" s="506"/>
      <c r="C53" s="506"/>
      <c r="D53" s="506"/>
      <c r="E53" s="506"/>
      <c r="F53" s="506"/>
      <c r="G53" s="507"/>
      <c r="L53" s="100"/>
    </row>
    <row r="54" spans="1:12" s="99" customFormat="1" ht="13.5" customHeight="1">
      <c r="A54" s="505"/>
      <c r="B54" s="506"/>
      <c r="C54" s="506"/>
      <c r="D54" s="506"/>
      <c r="E54" s="506"/>
      <c r="F54" s="506"/>
      <c r="G54" s="507"/>
      <c r="L54" s="100"/>
    </row>
    <row r="55" spans="1:12" s="99" customFormat="1" ht="13.5" customHeight="1">
      <c r="A55" s="505"/>
      <c r="B55" s="506"/>
      <c r="C55" s="506"/>
      <c r="D55" s="506"/>
      <c r="E55" s="506"/>
      <c r="F55" s="506"/>
      <c r="G55" s="507"/>
      <c r="L55" s="100"/>
    </row>
    <row r="56" spans="1:12" s="99" customFormat="1" ht="13.5" customHeight="1">
      <c r="A56" s="505"/>
      <c r="B56" s="506"/>
      <c r="C56" s="506"/>
      <c r="D56" s="506"/>
      <c r="E56" s="506"/>
      <c r="F56" s="506"/>
      <c r="G56" s="507"/>
      <c r="L56" s="100"/>
    </row>
    <row r="57" spans="1:12" s="99" customFormat="1" ht="13.5" customHeight="1">
      <c r="A57" s="505"/>
      <c r="B57" s="506"/>
      <c r="C57" s="506"/>
      <c r="D57" s="506"/>
      <c r="E57" s="506"/>
      <c r="F57" s="506"/>
      <c r="G57" s="507"/>
      <c r="L57" s="100"/>
    </row>
    <row r="58" spans="1:12" s="100" customFormat="1" ht="13.5" customHeight="1">
      <c r="A58" s="505"/>
      <c r="B58" s="506"/>
      <c r="C58" s="506"/>
      <c r="D58" s="506"/>
      <c r="E58" s="506"/>
      <c r="F58" s="506"/>
      <c r="G58" s="507"/>
      <c r="H58" s="99"/>
      <c r="I58" s="99"/>
      <c r="J58" s="99"/>
      <c r="K58" s="99"/>
    </row>
    <row r="59" spans="1:12" s="79" customFormat="1" ht="21">
      <c r="A59" s="108" t="s">
        <v>32</v>
      </c>
      <c r="B59" s="164">
        <f>$B$1</f>
        <v>10</v>
      </c>
      <c r="C59" s="110" t="s">
        <v>40</v>
      </c>
      <c r="D59" s="111" t="str">
        <f>$E$1</f>
        <v>一日毎</v>
      </c>
      <c r="E59" s="594" t="str">
        <f>$B$2</f>
        <v>エンター・ザ・クルーシブル</v>
      </c>
      <c r="F59" s="595"/>
      <c r="G59" s="596"/>
      <c r="L59" s="120"/>
    </row>
  </sheetData>
  <mergeCells count="62">
    <mergeCell ref="A47:G47"/>
    <mergeCell ref="A48:G48"/>
    <mergeCell ref="A49:G49"/>
    <mergeCell ref="A50:G50"/>
    <mergeCell ref="A51:G51"/>
    <mergeCell ref="J9:K9"/>
    <mergeCell ref="B11:G11"/>
    <mergeCell ref="B1:C1"/>
    <mergeCell ref="F1:G1"/>
    <mergeCell ref="B2:G2"/>
    <mergeCell ref="B4:G4"/>
    <mergeCell ref="B5:G5"/>
    <mergeCell ref="B6:D6"/>
    <mergeCell ref="B7:D7"/>
    <mergeCell ref="B8:G8"/>
    <mergeCell ref="B9:G9"/>
    <mergeCell ref="B10:G10"/>
    <mergeCell ref="H4:L4"/>
    <mergeCell ref="J11:K11"/>
    <mergeCell ref="B13:G13"/>
    <mergeCell ref="B14:G14"/>
    <mergeCell ref="B15:G15"/>
    <mergeCell ref="A19:G19"/>
    <mergeCell ref="B16:G16"/>
    <mergeCell ref="A38:G38"/>
    <mergeCell ref="A24:G24"/>
    <mergeCell ref="A25:G25"/>
    <mergeCell ref="A26:G26"/>
    <mergeCell ref="B12:G12"/>
    <mergeCell ref="A20:G20"/>
    <mergeCell ref="A21:G21"/>
    <mergeCell ref="A22:G22"/>
    <mergeCell ref="A23:G23"/>
    <mergeCell ref="A33:G33"/>
    <mergeCell ref="A34:G34"/>
    <mergeCell ref="A35:G35"/>
    <mergeCell ref="A36:G36"/>
    <mergeCell ref="A37:G37"/>
    <mergeCell ref="A28:G28"/>
    <mergeCell ref="A29:G29"/>
    <mergeCell ref="A30:G30"/>
    <mergeCell ref="A31:G31"/>
    <mergeCell ref="A32:G32"/>
    <mergeCell ref="A27:G27"/>
    <mergeCell ref="B17:G17"/>
    <mergeCell ref="B18:G18"/>
    <mergeCell ref="A39:G39"/>
    <mergeCell ref="A57:G57"/>
    <mergeCell ref="A58:G58"/>
    <mergeCell ref="E59:G59"/>
    <mergeCell ref="A56:G56"/>
    <mergeCell ref="A40:G40"/>
    <mergeCell ref="A41:G41"/>
    <mergeCell ref="A42:G42"/>
    <mergeCell ref="A43:G43"/>
    <mergeCell ref="A44:G44"/>
    <mergeCell ref="A45:G45"/>
    <mergeCell ref="A46:G46"/>
    <mergeCell ref="A53:G53"/>
    <mergeCell ref="A54:G54"/>
    <mergeCell ref="A55:G55"/>
    <mergeCell ref="A52:G52"/>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基本!$A$5:$A$10</xm:f>
          </x14:formula1>
          <xm:sqref>I10 I8 K15</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I7</xm:sqref>
        </x14:dataValidation>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 type="list" allowBlank="1" showInputMessage="1" showErrorMessage="1">
          <x14:formula1>
            <xm:f>基本!$A$16:$A$19</xm:f>
          </x14:formula1>
          <xm:sqref>K8</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9"/>
  <sheetViews>
    <sheetView workbookViewId="0">
      <selection activeCell="B2" sqref="B2:G2"/>
    </sheetView>
  </sheetViews>
  <sheetFormatPr defaultRowHeight="13.5"/>
  <cols>
    <col min="1" max="1" width="7.875" style="120" customWidth="1"/>
    <col min="2" max="2" width="8.5" style="120" customWidth="1"/>
    <col min="3" max="3" width="6.625" style="120" customWidth="1"/>
    <col min="4" max="4" width="15.75" style="120" customWidth="1"/>
    <col min="5" max="6" width="15.75" style="79" customWidth="1"/>
    <col min="7" max="7" width="18.25" style="79" customWidth="1"/>
    <col min="8" max="8" width="17.375" style="79" customWidth="1"/>
    <col min="9" max="9" width="14.625" style="79" customWidth="1"/>
    <col min="10" max="10" width="8.375" style="79" customWidth="1"/>
    <col min="11" max="11" width="7.5" style="79" customWidth="1"/>
    <col min="12" max="12" width="7.875" style="120" customWidth="1"/>
    <col min="13" max="13" width="9.25" style="120" customWidth="1"/>
    <col min="14" max="14" width="12.375" style="120" customWidth="1"/>
    <col min="15" max="16384" width="9" style="120"/>
  </cols>
  <sheetData>
    <row r="1" spans="1:13" ht="21">
      <c r="A1" s="39"/>
      <c r="B1" s="564" t="s">
        <v>133</v>
      </c>
      <c r="C1" s="566"/>
      <c r="D1" s="40" t="s">
        <v>40</v>
      </c>
      <c r="E1" s="41" t="s">
        <v>115</v>
      </c>
      <c r="F1" s="575"/>
      <c r="G1" s="576"/>
      <c r="H1" s="84" t="s">
        <v>55</v>
      </c>
    </row>
    <row r="2" spans="1:13" ht="24.75" customHeight="1">
      <c r="A2" s="40" t="s">
        <v>0</v>
      </c>
      <c r="B2" s="577" t="s">
        <v>190</v>
      </c>
      <c r="C2" s="577"/>
      <c r="D2" s="577"/>
      <c r="E2" s="577"/>
      <c r="F2" s="577"/>
      <c r="G2" s="577"/>
      <c r="H2" s="84" t="s">
        <v>56</v>
      </c>
    </row>
    <row r="3" spans="1:13" ht="19.5" customHeight="1">
      <c r="A3" s="90" t="s">
        <v>48</v>
      </c>
      <c r="B3" s="79"/>
      <c r="C3" s="79"/>
      <c r="D3" s="79"/>
      <c r="I3" s="84"/>
    </row>
    <row r="4" spans="1:13">
      <c r="A4" s="67" t="s">
        <v>46</v>
      </c>
      <c r="B4" s="480" t="s">
        <v>191</v>
      </c>
      <c r="C4" s="481"/>
      <c r="D4" s="481"/>
      <c r="E4" s="481"/>
      <c r="F4" s="481"/>
      <c r="G4" s="482"/>
      <c r="H4" s="394" t="s">
        <v>321</v>
      </c>
      <c r="I4" s="395"/>
      <c r="J4" s="395"/>
      <c r="K4" s="395"/>
      <c r="L4" s="396"/>
    </row>
    <row r="5" spans="1:13">
      <c r="A5" s="68" t="s">
        <v>39</v>
      </c>
      <c r="B5" s="480" t="s">
        <v>193</v>
      </c>
      <c r="C5" s="481"/>
      <c r="D5" s="481"/>
      <c r="E5" s="481"/>
      <c r="F5" s="481"/>
      <c r="G5" s="482"/>
      <c r="H5" s="129" t="s">
        <v>43</v>
      </c>
      <c r="I5" s="131" t="s">
        <v>88</v>
      </c>
      <c r="J5" s="131"/>
    </row>
    <row r="6" spans="1:13">
      <c r="A6" s="68" t="s">
        <v>7</v>
      </c>
      <c r="B6" s="629" t="s">
        <v>192</v>
      </c>
      <c r="C6" s="630"/>
      <c r="D6" s="631"/>
      <c r="E6" s="129" t="s">
        <v>43</v>
      </c>
      <c r="F6" s="130" t="str">
        <f>IF($I$5 = 0,"", $I$5)</f>
        <v>使用者</v>
      </c>
      <c r="G6" s="130" t="str">
        <f>IF($J$5 = 0,"", $J$5)</f>
        <v/>
      </c>
      <c r="H6" s="129" t="s">
        <v>66</v>
      </c>
      <c r="I6" s="131"/>
      <c r="J6" s="131"/>
    </row>
    <row r="7" spans="1:13">
      <c r="A7" s="69" t="s">
        <v>6</v>
      </c>
      <c r="B7" s="480"/>
      <c r="C7" s="481"/>
      <c r="D7" s="482"/>
      <c r="E7" s="129" t="s">
        <v>66</v>
      </c>
      <c r="F7" s="130" t="str">
        <f>IF($I$6 = 0,"", $I$6)</f>
        <v/>
      </c>
      <c r="G7" s="130" t="str">
        <f>IF($J$6 = 0,"", $J$6)</f>
        <v/>
      </c>
      <c r="H7" s="129" t="s">
        <v>85</v>
      </c>
      <c r="I7" s="131" t="s">
        <v>116</v>
      </c>
      <c r="J7" s="84" t="s">
        <v>62</v>
      </c>
      <c r="L7" s="176" t="s">
        <v>318</v>
      </c>
    </row>
    <row r="8" spans="1:13" ht="13.5" customHeight="1">
      <c r="A8" s="69" t="s">
        <v>128</v>
      </c>
      <c r="B8" s="474" t="s">
        <v>194</v>
      </c>
      <c r="C8" s="475"/>
      <c r="D8" s="475"/>
      <c r="E8" s="475"/>
      <c r="F8" s="475"/>
      <c r="G8" s="476"/>
      <c r="H8" s="129" t="s">
        <v>51</v>
      </c>
      <c r="I8" s="131" t="s">
        <v>138</v>
      </c>
      <c r="J8" s="130">
        <f>IF($I$8 = "筋力",基本!$C$5,IF($I$8 = "耐久力",基本!$C$6,IF($I$8 = "敏捷力",基本!$C$7,IF($I$8 = "知力",基本!$C$8,IF($I$8 = "判断力",基本!$C$9,IF($I$8 = "筋力",基本!$C$10,""))))))</f>
        <v>6</v>
      </c>
      <c r="K8" s="131" t="s">
        <v>90</v>
      </c>
      <c r="L8" s="177">
        <f>$J$8+$L$9+$I$9</f>
        <v>23</v>
      </c>
    </row>
    <row r="9" spans="1:13" ht="13.5" customHeight="1">
      <c r="A9" s="71" t="s">
        <v>61</v>
      </c>
      <c r="B9" s="474" t="s">
        <v>195</v>
      </c>
      <c r="C9" s="475"/>
      <c r="D9" s="475"/>
      <c r="E9" s="475"/>
      <c r="F9" s="475"/>
      <c r="G9" s="476"/>
      <c r="H9" s="129" t="s">
        <v>58</v>
      </c>
      <c r="I9" s="131">
        <v>1</v>
      </c>
      <c r="J9" s="394" t="s">
        <v>53</v>
      </c>
      <c r="K9" s="396"/>
      <c r="L9" s="130">
        <f>IF($I$7=基本!$F$4,基本!$P$7,IF($I$7=基本!$F$13,基本!$P$16,IF($I$7=基本!$F$22,基本!$P$25,IF($I$7=基本!$F$31,基本!$P$34,IF($I$7=基本!$F$40,基本!$P$43,0)))))</f>
        <v>16</v>
      </c>
    </row>
    <row r="10" spans="1:13" ht="13.5" customHeight="1">
      <c r="A10" s="71"/>
      <c r="B10" s="505"/>
      <c r="C10" s="506"/>
      <c r="D10" s="506"/>
      <c r="E10" s="506"/>
      <c r="F10" s="506"/>
      <c r="G10" s="507"/>
      <c r="H10" s="128" t="s">
        <v>52</v>
      </c>
      <c r="I10" s="131" t="s">
        <v>139</v>
      </c>
      <c r="J10" s="88">
        <f>IF($I$8 = "筋力",基本!$C$5,IF($I$10 = "耐久力",基本!$C$6,IF($I$10 = "敏捷力",基本!$C$7,IF($I$10 = "知力",基本!$C$8,IF($I$10 = "判断力",基本!$C$9,IF($I$10 = "筋力",基本!$C$10,""))))))</f>
        <v>6</v>
      </c>
      <c r="L10" s="79"/>
    </row>
    <row r="11" spans="1:13" ht="13.5" customHeight="1">
      <c r="A11" s="71"/>
      <c r="B11" s="505"/>
      <c r="C11" s="506"/>
      <c r="D11" s="506"/>
      <c r="E11" s="506"/>
      <c r="F11" s="506"/>
      <c r="G11" s="507"/>
      <c r="H11" s="129" t="s">
        <v>59</v>
      </c>
      <c r="I11" s="131">
        <v>0</v>
      </c>
      <c r="J11" s="394" t="s">
        <v>54</v>
      </c>
      <c r="K11" s="396"/>
      <c r="L11" s="130">
        <f>IF($I$7=基本!$F$4,基本!$P$9,IF($I$7=基本!$F$13,基本!$P$18,IF($I$7=基本!$F$22,基本!$P$27,IF($I$7=基本!$F$31,基本!$P$36,IF($I$7=基本!$F$40,基本!$P$45,0)))))</f>
        <v>6</v>
      </c>
    </row>
    <row r="12" spans="1:13">
      <c r="A12" s="71"/>
      <c r="B12" s="505"/>
      <c r="C12" s="506"/>
      <c r="D12" s="506"/>
      <c r="E12" s="506"/>
      <c r="F12" s="506"/>
      <c r="G12" s="507"/>
      <c r="J12" s="120"/>
      <c r="K12" s="120"/>
      <c r="L12" s="176" t="s">
        <v>318</v>
      </c>
    </row>
    <row r="13" spans="1:13" ht="13.5" customHeight="1">
      <c r="A13" s="71"/>
      <c r="B13" s="649"/>
      <c r="C13" s="650"/>
      <c r="D13" s="650"/>
      <c r="E13" s="650"/>
      <c r="F13" s="650"/>
      <c r="G13" s="651"/>
      <c r="H13" s="180" t="s">
        <v>86</v>
      </c>
      <c r="I13" s="131">
        <v>2</v>
      </c>
      <c r="J13" s="129" t="s">
        <v>44</v>
      </c>
      <c r="K13" s="131">
        <v>10</v>
      </c>
      <c r="L13" s="177">
        <f>$J$10+$L$11+$I$11</f>
        <v>12</v>
      </c>
    </row>
    <row r="14" spans="1:13" ht="13.5" customHeight="1">
      <c r="A14" s="71"/>
      <c r="B14" s="523"/>
      <c r="C14" s="524"/>
      <c r="D14" s="524"/>
      <c r="E14" s="524"/>
      <c r="F14" s="524"/>
      <c r="G14" s="525"/>
      <c r="H14" s="129" t="s">
        <v>50</v>
      </c>
      <c r="I14" s="32">
        <f>IF($I$7=基本!$F$4,基本!$L$11,IF($I$7=基本!$F$13,基本!$L$20,IF($I$7=基本!$F$22,基本!$L$29,IF($I$7=基本!$F$31,基本!$L$38,IF($I$7=基本!$F$40,基本!$L$47,0)))))</f>
        <v>4</v>
      </c>
      <c r="J14" s="180" t="s">
        <v>320</v>
      </c>
      <c r="K14" s="32">
        <f>IF($I$7=基本!$F$4,基本!$N$11,IF($I$7=基本!$F$13,基本!$N$20,IF($I$7=基本!$F$22,基本!$N$29,IF($I$7=基本!$F$31,基本!$N$38,IF($I$7=基本!$F$40,基本!$N$47,0)))))</f>
        <v>8</v>
      </c>
      <c r="L14" s="177">
        <f>$J$10+$L$11+$I$11+($I$13*$K$13)</f>
        <v>32</v>
      </c>
      <c r="M14" s="91"/>
    </row>
    <row r="15" spans="1:13" ht="13.5" customHeight="1">
      <c r="A15" s="71"/>
      <c r="B15" s="649"/>
      <c r="C15" s="650"/>
      <c r="D15" s="650"/>
      <c r="E15" s="650"/>
      <c r="F15" s="650"/>
      <c r="G15" s="651"/>
      <c r="H15" s="129" t="s">
        <v>60</v>
      </c>
      <c r="I15" s="131"/>
      <c r="J15" s="168" t="s">
        <v>315</v>
      </c>
      <c r="K15" s="170" t="s">
        <v>138</v>
      </c>
      <c r="L15" s="178">
        <f>IF($K$15 = "筋力",基本!$C$5,IF($K$15 = "耐久力",基本!$C$6,IF($K$15 = "敏捷力",基本!$C$7,IF($K$15 = "知力",基本!$C$8,IF($K$15 = "判断力",基本!$C$9,IF($K$15 = "魅力",基本!$C$10,""))))))</f>
        <v>6</v>
      </c>
    </row>
    <row r="16" spans="1:13" ht="13.5" customHeight="1">
      <c r="A16" s="71"/>
      <c r="B16" s="523"/>
      <c r="C16" s="524"/>
      <c r="D16" s="524"/>
      <c r="E16" s="524"/>
      <c r="F16" s="524"/>
      <c r="G16" s="525"/>
      <c r="H16" s="175" t="s">
        <v>316</v>
      </c>
      <c r="I16" s="135">
        <v>12</v>
      </c>
    </row>
    <row r="17" spans="1:12" ht="13.5" customHeight="1">
      <c r="A17" s="71"/>
      <c r="B17" s="523"/>
      <c r="C17" s="524"/>
      <c r="D17" s="524"/>
      <c r="E17" s="524"/>
      <c r="F17" s="524"/>
      <c r="G17" s="525"/>
      <c r="J17" s="120"/>
      <c r="K17" s="120"/>
    </row>
    <row r="18" spans="1:12" ht="13.5" customHeight="1">
      <c r="A18" s="72"/>
      <c r="B18" s="597"/>
      <c r="C18" s="598"/>
      <c r="D18" s="598"/>
      <c r="E18" s="598"/>
      <c r="F18" s="598"/>
      <c r="G18" s="599"/>
      <c r="J18" s="120"/>
      <c r="K18" s="120"/>
    </row>
    <row r="19" spans="1:12">
      <c r="A19" s="598"/>
      <c r="B19" s="598"/>
      <c r="C19" s="598"/>
      <c r="D19" s="598"/>
      <c r="E19" s="598"/>
      <c r="F19" s="598"/>
      <c r="G19" s="598"/>
    </row>
    <row r="20" spans="1:12" ht="13.5" customHeight="1">
      <c r="A20" s="531" t="s">
        <v>49</v>
      </c>
      <c r="B20" s="532"/>
      <c r="C20" s="532"/>
      <c r="D20" s="532"/>
      <c r="E20" s="532"/>
      <c r="F20" s="532"/>
      <c r="G20" s="533"/>
    </row>
    <row r="21" spans="1:12" s="99" customFormat="1" ht="13.5" customHeight="1">
      <c r="A21" s="646"/>
      <c r="B21" s="647"/>
      <c r="C21" s="647"/>
      <c r="D21" s="647"/>
      <c r="E21" s="647"/>
      <c r="F21" s="647"/>
      <c r="G21" s="648"/>
      <c r="L21" s="100"/>
    </row>
    <row r="22" spans="1:12" s="99" customFormat="1" ht="13.5" customHeight="1">
      <c r="A22" s="505" t="s">
        <v>229</v>
      </c>
      <c r="B22" s="506"/>
      <c r="C22" s="506"/>
      <c r="D22" s="506"/>
      <c r="E22" s="506"/>
      <c r="F22" s="506"/>
      <c r="G22" s="507"/>
      <c r="L22" s="100"/>
    </row>
    <row r="23" spans="1:12" s="99" customFormat="1" ht="13.5" customHeight="1">
      <c r="A23" s="505"/>
      <c r="B23" s="506"/>
      <c r="C23" s="506"/>
      <c r="D23" s="506"/>
      <c r="E23" s="506"/>
      <c r="F23" s="506"/>
      <c r="G23" s="507"/>
      <c r="L23" s="100"/>
    </row>
    <row r="24" spans="1:12" s="99" customFormat="1" ht="13.5" customHeight="1">
      <c r="A24" s="505"/>
      <c r="B24" s="506"/>
      <c r="C24" s="506"/>
      <c r="D24" s="506"/>
      <c r="E24" s="506"/>
      <c r="F24" s="506"/>
      <c r="G24" s="507"/>
      <c r="L24" s="100"/>
    </row>
    <row r="25" spans="1:12" s="100" customFormat="1" ht="13.5" customHeight="1">
      <c r="A25" s="505"/>
      <c r="B25" s="506"/>
      <c r="C25" s="506"/>
      <c r="D25" s="506"/>
      <c r="E25" s="506"/>
      <c r="F25" s="506"/>
      <c r="G25" s="507"/>
      <c r="H25" s="99"/>
      <c r="I25" s="99"/>
      <c r="J25" s="99"/>
      <c r="K25" s="99"/>
    </row>
    <row r="26" spans="1:12" s="99" customFormat="1" ht="21" customHeight="1">
      <c r="A26" s="477"/>
      <c r="B26" s="478"/>
      <c r="C26" s="478"/>
      <c r="D26" s="478"/>
      <c r="E26" s="478"/>
      <c r="F26" s="478"/>
      <c r="G26" s="479"/>
      <c r="L26" s="100"/>
    </row>
    <row r="27" spans="1:12" s="99" customFormat="1" ht="13.5" customHeight="1">
      <c r="A27" s="505"/>
      <c r="B27" s="506"/>
      <c r="C27" s="506"/>
      <c r="D27" s="506"/>
      <c r="E27" s="506"/>
      <c r="F27" s="506"/>
      <c r="G27" s="507"/>
      <c r="L27" s="100"/>
    </row>
    <row r="28" spans="1:12" s="100" customFormat="1" ht="13.5" customHeight="1">
      <c r="A28" s="505"/>
      <c r="B28" s="506"/>
      <c r="C28" s="506"/>
      <c r="D28" s="506"/>
      <c r="E28" s="506"/>
      <c r="F28" s="506"/>
      <c r="G28" s="507"/>
      <c r="H28" s="99"/>
      <c r="I28" s="99"/>
      <c r="J28" s="99"/>
      <c r="K28" s="99"/>
    </row>
    <row r="29" spans="1:12" s="99" customFormat="1" ht="13.5" customHeight="1">
      <c r="A29" s="505"/>
      <c r="B29" s="506"/>
      <c r="C29" s="506"/>
      <c r="D29" s="506"/>
      <c r="E29" s="506"/>
      <c r="F29" s="506"/>
      <c r="G29" s="507"/>
      <c r="L29" s="100"/>
    </row>
    <row r="30" spans="1:12" s="99" customFormat="1" ht="13.5" customHeight="1">
      <c r="A30" s="505"/>
      <c r="B30" s="506"/>
      <c r="C30" s="506"/>
      <c r="D30" s="506"/>
      <c r="E30" s="506"/>
      <c r="F30" s="506"/>
      <c r="G30" s="507"/>
      <c r="L30" s="100"/>
    </row>
    <row r="31" spans="1:12" s="99" customFormat="1" ht="13.5" customHeight="1">
      <c r="A31" s="505"/>
      <c r="B31" s="506"/>
      <c r="C31" s="506"/>
      <c r="D31" s="506"/>
      <c r="E31" s="506"/>
      <c r="F31" s="506"/>
      <c r="G31" s="507"/>
      <c r="L31" s="100"/>
    </row>
    <row r="32" spans="1:12" s="99" customFormat="1" ht="13.5" customHeight="1">
      <c r="A32" s="505"/>
      <c r="B32" s="506"/>
      <c r="C32" s="506"/>
      <c r="D32" s="506"/>
      <c r="E32" s="506"/>
      <c r="F32" s="506"/>
      <c r="G32" s="507"/>
      <c r="L32" s="100"/>
    </row>
    <row r="33" spans="1:12" s="99" customFormat="1" ht="13.5" customHeight="1">
      <c r="A33" s="505"/>
      <c r="B33" s="506"/>
      <c r="C33" s="506"/>
      <c r="D33" s="506"/>
      <c r="E33" s="506"/>
      <c r="F33" s="506"/>
      <c r="G33" s="507"/>
      <c r="L33" s="100"/>
    </row>
    <row r="34" spans="1:12" s="99" customFormat="1" ht="13.5" customHeight="1">
      <c r="A34" s="505"/>
      <c r="B34" s="506"/>
      <c r="C34" s="506"/>
      <c r="D34" s="506"/>
      <c r="E34" s="506"/>
      <c r="F34" s="506"/>
      <c r="G34" s="507"/>
      <c r="L34" s="100"/>
    </row>
    <row r="35" spans="1:12" s="99" customFormat="1" ht="13.5" customHeight="1">
      <c r="A35" s="505"/>
      <c r="B35" s="506"/>
      <c r="C35" s="506"/>
      <c r="D35" s="506"/>
      <c r="E35" s="506"/>
      <c r="F35" s="506"/>
      <c r="G35" s="507"/>
      <c r="L35" s="100"/>
    </row>
    <row r="36" spans="1:12" s="99" customFormat="1" ht="13.5" customHeight="1">
      <c r="A36" s="505"/>
      <c r="B36" s="506"/>
      <c r="C36" s="506"/>
      <c r="D36" s="506"/>
      <c r="E36" s="506"/>
      <c r="F36" s="506"/>
      <c r="G36" s="507"/>
      <c r="L36" s="100"/>
    </row>
    <row r="37" spans="1:12" s="99" customFormat="1" ht="13.5" customHeight="1">
      <c r="A37" s="505"/>
      <c r="B37" s="506"/>
      <c r="C37" s="506"/>
      <c r="D37" s="506"/>
      <c r="E37" s="506"/>
      <c r="F37" s="506"/>
      <c r="G37" s="507"/>
      <c r="L37" s="100"/>
    </row>
    <row r="38" spans="1:12" s="99" customFormat="1" ht="13.5" customHeight="1">
      <c r="A38" s="505"/>
      <c r="B38" s="506"/>
      <c r="C38" s="506"/>
      <c r="D38" s="506"/>
      <c r="E38" s="506"/>
      <c r="F38" s="506"/>
      <c r="G38" s="507"/>
      <c r="L38" s="100"/>
    </row>
    <row r="39" spans="1:12" s="99" customFormat="1" ht="13.5" customHeight="1">
      <c r="A39" s="505"/>
      <c r="B39" s="506"/>
      <c r="C39" s="506"/>
      <c r="D39" s="506"/>
      <c r="E39" s="506"/>
      <c r="F39" s="506"/>
      <c r="G39" s="507"/>
      <c r="L39" s="100"/>
    </row>
    <row r="40" spans="1:12" s="99" customFormat="1" ht="13.5" customHeight="1">
      <c r="A40" s="505"/>
      <c r="B40" s="506"/>
      <c r="C40" s="506"/>
      <c r="D40" s="506"/>
      <c r="E40" s="506"/>
      <c r="F40" s="506"/>
      <c r="G40" s="507"/>
      <c r="L40" s="100"/>
    </row>
    <row r="41" spans="1:12" s="99" customFormat="1" ht="13.5" customHeight="1">
      <c r="A41" s="505"/>
      <c r="B41" s="506"/>
      <c r="C41" s="506"/>
      <c r="D41" s="506"/>
      <c r="E41" s="506"/>
      <c r="F41" s="506"/>
      <c r="G41" s="507"/>
      <c r="L41" s="100"/>
    </row>
    <row r="42" spans="1:12" s="99" customFormat="1" ht="13.5" customHeight="1">
      <c r="A42" s="505"/>
      <c r="B42" s="506"/>
      <c r="C42" s="506"/>
      <c r="D42" s="506"/>
      <c r="E42" s="506"/>
      <c r="F42" s="506"/>
      <c r="G42" s="507"/>
      <c r="L42" s="100"/>
    </row>
    <row r="43" spans="1:12" s="99" customFormat="1" ht="13.5" customHeight="1">
      <c r="A43" s="505"/>
      <c r="B43" s="506"/>
      <c r="C43" s="506"/>
      <c r="D43" s="506"/>
      <c r="E43" s="506"/>
      <c r="F43" s="506"/>
      <c r="G43" s="507"/>
      <c r="L43" s="100"/>
    </row>
    <row r="44" spans="1:12" s="99" customFormat="1" ht="13.5" customHeight="1">
      <c r="A44" s="505"/>
      <c r="B44" s="506"/>
      <c r="C44" s="506"/>
      <c r="D44" s="506"/>
      <c r="E44" s="506"/>
      <c r="F44" s="506"/>
      <c r="G44" s="507"/>
      <c r="L44" s="100"/>
    </row>
    <row r="45" spans="1:12" s="99" customFormat="1" ht="13.5" customHeight="1">
      <c r="A45" s="505"/>
      <c r="B45" s="506"/>
      <c r="C45" s="506"/>
      <c r="D45" s="506"/>
      <c r="E45" s="506"/>
      <c r="F45" s="506"/>
      <c r="G45" s="507"/>
      <c r="L45" s="100"/>
    </row>
    <row r="46" spans="1:12" s="99" customFormat="1" ht="13.5" customHeight="1">
      <c r="A46" s="505"/>
      <c r="B46" s="506"/>
      <c r="C46" s="506"/>
      <c r="D46" s="506"/>
      <c r="E46" s="506"/>
      <c r="F46" s="506"/>
      <c r="G46" s="507"/>
      <c r="L46" s="100"/>
    </row>
    <row r="47" spans="1:12" s="99" customFormat="1" ht="13.5" customHeight="1">
      <c r="A47" s="505"/>
      <c r="B47" s="506"/>
      <c r="C47" s="506"/>
      <c r="D47" s="506"/>
      <c r="E47" s="506"/>
      <c r="F47" s="506"/>
      <c r="G47" s="507"/>
      <c r="L47" s="100"/>
    </row>
    <row r="48" spans="1:12" s="99" customFormat="1" ht="13.5" customHeight="1">
      <c r="A48" s="505"/>
      <c r="B48" s="506"/>
      <c r="C48" s="506"/>
      <c r="D48" s="506"/>
      <c r="E48" s="506"/>
      <c r="F48" s="506"/>
      <c r="G48" s="507"/>
      <c r="L48" s="100"/>
    </row>
    <row r="49" spans="1:12" s="99" customFormat="1" ht="13.5" customHeight="1">
      <c r="A49" s="505"/>
      <c r="B49" s="506"/>
      <c r="C49" s="506"/>
      <c r="D49" s="506"/>
      <c r="E49" s="506"/>
      <c r="F49" s="506"/>
      <c r="G49" s="507"/>
      <c r="L49" s="100"/>
    </row>
    <row r="50" spans="1:12" s="99" customFormat="1" ht="13.5" customHeight="1">
      <c r="A50" s="505"/>
      <c r="B50" s="506"/>
      <c r="C50" s="506"/>
      <c r="D50" s="506"/>
      <c r="E50" s="506"/>
      <c r="F50" s="506"/>
      <c r="G50" s="507"/>
      <c r="L50" s="100"/>
    </row>
    <row r="51" spans="1:12" s="99" customFormat="1" ht="13.5" customHeight="1">
      <c r="A51" s="505"/>
      <c r="B51" s="506"/>
      <c r="C51" s="506"/>
      <c r="D51" s="506"/>
      <c r="E51" s="506"/>
      <c r="F51" s="506"/>
      <c r="G51" s="507"/>
      <c r="L51" s="100"/>
    </row>
    <row r="52" spans="1:12" s="99" customFormat="1" ht="13.5" customHeight="1">
      <c r="A52" s="505"/>
      <c r="B52" s="506"/>
      <c r="C52" s="506"/>
      <c r="D52" s="506"/>
      <c r="E52" s="506"/>
      <c r="F52" s="506"/>
      <c r="G52" s="507"/>
      <c r="L52" s="100"/>
    </row>
    <row r="53" spans="1:12" s="99" customFormat="1" ht="13.5" customHeight="1">
      <c r="A53" s="505"/>
      <c r="B53" s="506"/>
      <c r="C53" s="506"/>
      <c r="D53" s="506"/>
      <c r="E53" s="506"/>
      <c r="F53" s="506"/>
      <c r="G53" s="507"/>
      <c r="L53" s="100"/>
    </row>
    <row r="54" spans="1:12" s="99" customFormat="1" ht="13.5" customHeight="1">
      <c r="A54" s="505"/>
      <c r="B54" s="506"/>
      <c r="C54" s="506"/>
      <c r="D54" s="506"/>
      <c r="E54" s="506"/>
      <c r="F54" s="506"/>
      <c r="G54" s="507"/>
      <c r="L54" s="100"/>
    </row>
    <row r="55" spans="1:12" s="99" customFormat="1" ht="13.5" customHeight="1">
      <c r="A55" s="505"/>
      <c r="B55" s="506"/>
      <c r="C55" s="506"/>
      <c r="D55" s="506"/>
      <c r="E55" s="506"/>
      <c r="F55" s="506"/>
      <c r="G55" s="507"/>
      <c r="L55" s="100"/>
    </row>
    <row r="56" spans="1:12" s="99" customFormat="1" ht="13.5" customHeight="1">
      <c r="A56" s="505"/>
      <c r="B56" s="506"/>
      <c r="C56" s="506"/>
      <c r="D56" s="506"/>
      <c r="E56" s="506"/>
      <c r="F56" s="506"/>
      <c r="G56" s="507"/>
      <c r="L56" s="100"/>
    </row>
    <row r="57" spans="1:12" s="99" customFormat="1" ht="13.5" customHeight="1">
      <c r="A57" s="505"/>
      <c r="B57" s="506"/>
      <c r="C57" s="506"/>
      <c r="D57" s="506"/>
      <c r="E57" s="506"/>
      <c r="F57" s="506"/>
      <c r="G57" s="507"/>
      <c r="L57" s="100"/>
    </row>
    <row r="58" spans="1:12" s="100" customFormat="1" ht="13.5" customHeight="1">
      <c r="A58" s="505"/>
      <c r="B58" s="506"/>
      <c r="C58" s="506"/>
      <c r="D58" s="506"/>
      <c r="E58" s="506"/>
      <c r="F58" s="506"/>
      <c r="G58" s="507"/>
      <c r="H58" s="99"/>
      <c r="I58" s="99"/>
      <c r="J58" s="99"/>
      <c r="K58" s="99"/>
    </row>
    <row r="59" spans="1:12" s="79" customFormat="1" ht="21">
      <c r="A59" s="652" t="str">
        <f>$B$1</f>
        <v>テーマパワー</v>
      </c>
      <c r="B59" s="653"/>
      <c r="C59" s="37" t="s">
        <v>40</v>
      </c>
      <c r="D59" s="38" t="str">
        <f>$E$1</f>
        <v>遭遇毎</v>
      </c>
      <c r="E59" s="564" t="str">
        <f>$B$2</f>
        <v>サブレテイニアン･サヴァイヴァル</v>
      </c>
      <c r="F59" s="565"/>
      <c r="G59" s="566"/>
      <c r="L59" s="120"/>
    </row>
  </sheetData>
  <mergeCells count="63">
    <mergeCell ref="B16:G16"/>
    <mergeCell ref="B7:D7"/>
    <mergeCell ref="B8:G8"/>
    <mergeCell ref="B9:G9"/>
    <mergeCell ref="B10:G10"/>
    <mergeCell ref="B12:G12"/>
    <mergeCell ref="B13:G13"/>
    <mergeCell ref="B14:G14"/>
    <mergeCell ref="B15:G15"/>
    <mergeCell ref="J9:K9"/>
    <mergeCell ref="B11:G11"/>
    <mergeCell ref="B1:C1"/>
    <mergeCell ref="F1:G1"/>
    <mergeCell ref="B2:G2"/>
    <mergeCell ref="B4:G4"/>
    <mergeCell ref="B5:G5"/>
    <mergeCell ref="B6:D6"/>
    <mergeCell ref="H4:L4"/>
    <mergeCell ref="J11:K11"/>
    <mergeCell ref="A28:G28"/>
    <mergeCell ref="B17:G17"/>
    <mergeCell ref="B18:G18"/>
    <mergeCell ref="A19:G19"/>
    <mergeCell ref="A20:G20"/>
    <mergeCell ref="A21:G21"/>
    <mergeCell ref="A22:G22"/>
    <mergeCell ref="A23:G23"/>
    <mergeCell ref="A24:G24"/>
    <mergeCell ref="A25:G25"/>
    <mergeCell ref="A26:G26"/>
    <mergeCell ref="A27:G27"/>
    <mergeCell ref="A40:G40"/>
    <mergeCell ref="A29:G29"/>
    <mergeCell ref="A30:G30"/>
    <mergeCell ref="A31:G31"/>
    <mergeCell ref="A32:G32"/>
    <mergeCell ref="A33:G33"/>
    <mergeCell ref="A34:G34"/>
    <mergeCell ref="A35:G35"/>
    <mergeCell ref="A36:G36"/>
    <mergeCell ref="A37:G37"/>
    <mergeCell ref="A38:G38"/>
    <mergeCell ref="A39:G39"/>
    <mergeCell ref="A41:G41"/>
    <mergeCell ref="A42:G42"/>
    <mergeCell ref="A43:G43"/>
    <mergeCell ref="A44:G44"/>
    <mergeCell ref="A45:G45"/>
    <mergeCell ref="A46:G46"/>
    <mergeCell ref="A47:G47"/>
    <mergeCell ref="A53:G53"/>
    <mergeCell ref="A54:G54"/>
    <mergeCell ref="A55:G55"/>
    <mergeCell ref="A52:G52"/>
    <mergeCell ref="A57:G57"/>
    <mergeCell ref="A58:G58"/>
    <mergeCell ref="E59:G59"/>
    <mergeCell ref="A56:G56"/>
    <mergeCell ref="A48:G48"/>
    <mergeCell ref="A49:G49"/>
    <mergeCell ref="A50:G50"/>
    <mergeCell ref="A51:G51"/>
    <mergeCell ref="A59:B59"/>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基本!$A$5:$A$10</xm:f>
          </x14:formula1>
          <xm:sqref>I10 I8 K15</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I7</xm:sqref>
        </x14:dataValidation>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 type="list" allowBlank="1" showInputMessage="1" showErrorMessage="1">
          <x14:formula1>
            <xm:f>基本!$A$16:$A$19</xm:f>
          </x14:formula1>
          <xm:sqref>K8</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61D02"/>
  </sheetPr>
  <dimension ref="A1:M59"/>
  <sheetViews>
    <sheetView topLeftCell="A20" zoomScaleNormal="100" workbookViewId="0">
      <selection activeCell="A44" sqref="A44:G44"/>
    </sheetView>
  </sheetViews>
  <sheetFormatPr defaultRowHeight="13.5"/>
  <cols>
    <col min="1" max="1" width="7.875" style="120" customWidth="1"/>
    <col min="2" max="2" width="8.5" style="120" customWidth="1"/>
    <col min="3" max="3" width="6.625" style="120" customWidth="1"/>
    <col min="4" max="4" width="15.75" style="120" customWidth="1"/>
    <col min="5" max="6" width="15.75" style="79" customWidth="1"/>
    <col min="7" max="7" width="18.25" style="79" customWidth="1"/>
    <col min="8" max="8" width="17.375" style="79" customWidth="1"/>
    <col min="9" max="9" width="14.625" style="79" customWidth="1"/>
    <col min="10" max="10" width="8.375" style="79" customWidth="1"/>
    <col min="11" max="11" width="7.5" style="79" customWidth="1"/>
    <col min="12" max="12" width="7.875" style="120" customWidth="1"/>
    <col min="13" max="13" width="9.25" style="120" customWidth="1"/>
    <col min="14" max="14" width="12.375" style="120" customWidth="1"/>
    <col min="15" max="16384" width="9" style="120"/>
  </cols>
  <sheetData>
    <row r="1" spans="1:13" ht="21">
      <c r="A1" s="39" t="s">
        <v>32</v>
      </c>
      <c r="B1" s="564">
        <v>12</v>
      </c>
      <c r="C1" s="566"/>
      <c r="D1" s="40" t="s">
        <v>40</v>
      </c>
      <c r="E1" s="41" t="s">
        <v>115</v>
      </c>
      <c r="F1" s="575"/>
      <c r="G1" s="576"/>
      <c r="H1" s="84" t="s">
        <v>55</v>
      </c>
    </row>
    <row r="2" spans="1:13" ht="24.75" customHeight="1">
      <c r="A2" s="40" t="s">
        <v>0</v>
      </c>
      <c r="B2" s="577" t="s">
        <v>524</v>
      </c>
      <c r="C2" s="577"/>
      <c r="D2" s="577"/>
      <c r="E2" s="577"/>
      <c r="F2" s="577"/>
      <c r="G2" s="577"/>
      <c r="H2" s="84" t="s">
        <v>56</v>
      </c>
    </row>
    <row r="3" spans="1:13" ht="19.5" customHeight="1">
      <c r="A3" s="90" t="s">
        <v>48</v>
      </c>
      <c r="B3" s="79"/>
      <c r="C3" s="79"/>
      <c r="D3" s="79"/>
      <c r="I3" s="84"/>
    </row>
    <row r="4" spans="1:13">
      <c r="A4" s="67" t="s">
        <v>46</v>
      </c>
      <c r="B4" s="480" t="s">
        <v>338</v>
      </c>
      <c r="C4" s="481"/>
      <c r="D4" s="481"/>
      <c r="E4" s="481"/>
      <c r="F4" s="481"/>
      <c r="G4" s="482"/>
      <c r="H4" s="394" t="s">
        <v>321</v>
      </c>
      <c r="I4" s="395"/>
      <c r="J4" s="395"/>
      <c r="K4" s="395"/>
      <c r="L4" s="396"/>
    </row>
    <row r="5" spans="1:13">
      <c r="A5" s="68" t="s">
        <v>39</v>
      </c>
      <c r="B5" s="480" t="s">
        <v>339</v>
      </c>
      <c r="C5" s="481"/>
      <c r="D5" s="481"/>
      <c r="E5" s="481"/>
      <c r="F5" s="481"/>
      <c r="G5" s="482"/>
      <c r="H5" s="180" t="s">
        <v>43</v>
      </c>
      <c r="I5" s="181" t="s">
        <v>88</v>
      </c>
      <c r="J5" s="181"/>
    </row>
    <row r="6" spans="1:13">
      <c r="A6" s="68" t="s">
        <v>7</v>
      </c>
      <c r="B6" s="629" t="s">
        <v>340</v>
      </c>
      <c r="C6" s="630"/>
      <c r="D6" s="631"/>
      <c r="E6" s="180" t="s">
        <v>43</v>
      </c>
      <c r="F6" s="179" t="str">
        <f>IF($I$5 = 0,"", $I$5)</f>
        <v>使用者</v>
      </c>
      <c r="G6" s="179" t="str">
        <f>IF($J$5 = 0,"", $J$5)</f>
        <v/>
      </c>
      <c r="H6" s="180" t="s">
        <v>66</v>
      </c>
      <c r="I6" s="181"/>
      <c r="J6" s="181"/>
    </row>
    <row r="7" spans="1:13">
      <c r="A7" s="69" t="s">
        <v>6</v>
      </c>
      <c r="B7" s="480"/>
      <c r="C7" s="481"/>
      <c r="D7" s="482"/>
      <c r="E7" s="180" t="s">
        <v>66</v>
      </c>
      <c r="F7" s="179" t="str">
        <f>IF($I$6 = 0,"", $I$6)</f>
        <v/>
      </c>
      <c r="G7" s="179" t="str">
        <f>IF($J$6 = 0,"", $J$6)</f>
        <v/>
      </c>
      <c r="H7" s="180" t="s">
        <v>85</v>
      </c>
      <c r="I7" s="181" t="s">
        <v>116</v>
      </c>
      <c r="J7" s="84" t="s">
        <v>62</v>
      </c>
      <c r="L7" s="176" t="s">
        <v>318</v>
      </c>
    </row>
    <row r="8" spans="1:13" ht="13.5" customHeight="1">
      <c r="A8" s="70" t="s">
        <v>61</v>
      </c>
      <c r="B8" s="474" t="s">
        <v>341</v>
      </c>
      <c r="C8" s="475"/>
      <c r="D8" s="475"/>
      <c r="E8" s="475"/>
      <c r="F8" s="475"/>
      <c r="G8" s="476"/>
      <c r="H8" s="180" t="s">
        <v>51</v>
      </c>
      <c r="I8" s="181" t="s">
        <v>138</v>
      </c>
      <c r="J8" s="179">
        <f>IF($I$8 = "筋力",基本!$C$5,IF($I$8 = "耐久力",基本!$C$6,IF($I$8 = "敏捷力",基本!$C$7,IF($I$8 = "知力",基本!$C$8,IF($I$8 = "判断力",基本!$C$9,IF($I$8 = "筋力",基本!$C$10,""))))))</f>
        <v>6</v>
      </c>
      <c r="K8" s="181" t="s">
        <v>90</v>
      </c>
      <c r="L8" s="177">
        <f>$J$8+$L$9+$I$9</f>
        <v>23</v>
      </c>
    </row>
    <row r="9" spans="1:13" ht="13.5" customHeight="1">
      <c r="A9" s="71"/>
      <c r="B9" s="505" t="s">
        <v>365</v>
      </c>
      <c r="C9" s="506"/>
      <c r="D9" s="506"/>
      <c r="E9" s="506"/>
      <c r="F9" s="506"/>
      <c r="G9" s="507"/>
      <c r="H9" s="180" t="s">
        <v>58</v>
      </c>
      <c r="I9" s="181">
        <v>1</v>
      </c>
      <c r="J9" s="394" t="s">
        <v>53</v>
      </c>
      <c r="K9" s="396"/>
      <c r="L9" s="179">
        <f>IF($I$7=基本!$F$4,基本!$P$7,IF($I$7=基本!$F$13,基本!$P$16,IF($I$7=基本!$F$22,基本!$P$25,IF($I$7=基本!$F$31,基本!$P$34,IF($I$7=基本!$F$40,基本!$P$43,0)))))</f>
        <v>16</v>
      </c>
    </row>
    <row r="10" spans="1:13" ht="13.5" customHeight="1">
      <c r="A10" s="71"/>
      <c r="B10" s="505" t="s">
        <v>342</v>
      </c>
      <c r="C10" s="506"/>
      <c r="D10" s="506"/>
      <c r="E10" s="506"/>
      <c r="F10" s="506"/>
      <c r="G10" s="507"/>
      <c r="H10" s="182" t="s">
        <v>52</v>
      </c>
      <c r="I10" s="181" t="s">
        <v>138</v>
      </c>
      <c r="J10" s="88">
        <f>IF($I$8 = "筋力",基本!$C$5,IF($I$10 = "耐久力",基本!$C$6,IF($I$10 = "敏捷力",基本!$C$7,IF($I$10 = "知力",基本!$C$8,IF($I$10 = "判断力",基本!$C$9,IF($I$10 = "筋力",基本!$C$10,""))))))</f>
        <v>6</v>
      </c>
      <c r="L10" s="79"/>
    </row>
    <row r="11" spans="1:13" ht="13.5" customHeight="1">
      <c r="A11" s="71"/>
      <c r="B11" s="505"/>
      <c r="C11" s="506"/>
      <c r="D11" s="506"/>
      <c r="E11" s="506"/>
      <c r="F11" s="506"/>
      <c r="G11" s="507"/>
      <c r="H11" s="180" t="s">
        <v>59</v>
      </c>
      <c r="I11" s="181">
        <v>0</v>
      </c>
      <c r="J11" s="394" t="s">
        <v>54</v>
      </c>
      <c r="K11" s="396"/>
      <c r="L11" s="179">
        <f>IF($I$7=基本!$F$4,基本!$P$9,IF($I$7=基本!$F$13,基本!$P$18,IF($I$7=基本!$F$22,基本!$P$27,IF($I$7=基本!$F$31,基本!$P$36,IF($I$7=基本!$F$40,基本!$P$45,0)))))</f>
        <v>6</v>
      </c>
    </row>
    <row r="12" spans="1:13" ht="24">
      <c r="A12" s="71"/>
      <c r="B12" s="632" t="str">
        <f>"機会攻撃を行う敵は全て " &amp; $L$15+5 &amp; " ダメージ"</f>
        <v>機会攻撃を行う敵は全て 11 ダメージ</v>
      </c>
      <c r="C12" s="633"/>
      <c r="D12" s="633"/>
      <c r="E12" s="633"/>
      <c r="F12" s="633"/>
      <c r="G12" s="634"/>
      <c r="J12" s="120"/>
      <c r="K12" s="120"/>
      <c r="L12" s="176" t="s">
        <v>318</v>
      </c>
    </row>
    <row r="13" spans="1:13" ht="6.75" customHeight="1">
      <c r="A13" s="71"/>
      <c r="B13" s="649"/>
      <c r="C13" s="650"/>
      <c r="D13" s="650"/>
      <c r="E13" s="650"/>
      <c r="F13" s="650"/>
      <c r="G13" s="651"/>
      <c r="H13" s="180" t="s">
        <v>86</v>
      </c>
      <c r="I13" s="181">
        <v>2</v>
      </c>
      <c r="J13" s="180" t="s">
        <v>44</v>
      </c>
      <c r="K13" s="181">
        <v>10</v>
      </c>
      <c r="L13" s="177">
        <f>$J$10+$L$11+$I$11</f>
        <v>12</v>
      </c>
    </row>
    <row r="14" spans="1:13" ht="6.75" customHeight="1">
      <c r="A14" s="71"/>
      <c r="B14" s="523"/>
      <c r="C14" s="524"/>
      <c r="D14" s="524"/>
      <c r="E14" s="524"/>
      <c r="F14" s="524"/>
      <c r="G14" s="525"/>
      <c r="H14" s="180" t="s">
        <v>50</v>
      </c>
      <c r="I14" s="32">
        <f>IF($I$7=基本!$F$4,基本!$L$11,IF($I$7=基本!$F$13,基本!$L$20,IF($I$7=基本!$F$22,基本!$L$29,IF($I$7=基本!$F$31,基本!$L$38,IF($I$7=基本!$F$40,基本!$L$47,0)))))</f>
        <v>4</v>
      </c>
      <c r="J14" s="180" t="s">
        <v>320</v>
      </c>
      <c r="K14" s="32">
        <f>IF($I$7=基本!$F$4,基本!$N$11,IF($I$7=基本!$F$13,基本!$N$20,IF($I$7=基本!$F$22,基本!$N$29,IF($I$7=基本!$F$31,基本!$N$38,IF($I$7=基本!$F$40,基本!$N$47,0)))))</f>
        <v>8</v>
      </c>
      <c r="L14" s="177">
        <f>$J$10+$L$11+$I$11+($I$13*$K$13)</f>
        <v>32</v>
      </c>
      <c r="M14" s="91"/>
    </row>
    <row r="15" spans="1:13" ht="6.75" customHeight="1">
      <c r="A15" s="71"/>
      <c r="B15" s="649"/>
      <c r="C15" s="650"/>
      <c r="D15" s="650"/>
      <c r="E15" s="650"/>
      <c r="F15" s="650"/>
      <c r="G15" s="651"/>
      <c r="H15" s="180" t="s">
        <v>60</v>
      </c>
      <c r="I15" s="181"/>
      <c r="J15" s="180" t="s">
        <v>315</v>
      </c>
      <c r="K15" s="181" t="s">
        <v>16</v>
      </c>
      <c r="L15" s="179">
        <f>IF($K$15 = "筋力",基本!$C$5,IF($K$15 = "耐久力",基本!$C$6,IF($K$15 = "敏捷力",基本!$C$7,IF($K$15 = "知力",基本!$C$8,IF($K$15 = "判断力",基本!$C$9,IF($K$15 = "魅力",基本!$C$10,""))))))</f>
        <v>6</v>
      </c>
    </row>
    <row r="16" spans="1:13" ht="6.75" customHeight="1">
      <c r="A16" s="71"/>
      <c r="B16" s="523"/>
      <c r="C16" s="524"/>
      <c r="D16" s="524"/>
      <c r="E16" s="524"/>
      <c r="F16" s="524"/>
      <c r="G16" s="525"/>
      <c r="H16" s="175" t="s">
        <v>316</v>
      </c>
      <c r="I16" s="181">
        <v>12</v>
      </c>
    </row>
    <row r="17" spans="1:12" ht="8.25" customHeight="1">
      <c r="A17" s="72"/>
      <c r="B17" s="597"/>
      <c r="C17" s="598"/>
      <c r="D17" s="598"/>
      <c r="E17" s="598"/>
      <c r="F17" s="598"/>
      <c r="G17" s="599"/>
      <c r="J17" s="120"/>
      <c r="K17" s="120"/>
    </row>
    <row r="18" spans="1:12" ht="18.75" customHeight="1">
      <c r="A18" s="457" t="s">
        <v>263</v>
      </c>
      <c r="B18" s="457"/>
      <c r="C18" s="457"/>
      <c r="D18" s="457"/>
      <c r="E18" s="457"/>
      <c r="F18" s="457"/>
      <c r="G18" s="457"/>
      <c r="I18" s="120"/>
      <c r="J18" s="120"/>
      <c r="K18" s="120"/>
    </row>
    <row r="19" spans="1:12" ht="13.5" customHeight="1">
      <c r="A19" s="458" t="s">
        <v>264</v>
      </c>
      <c r="B19" s="458"/>
      <c r="C19" s="458"/>
      <c r="D19" s="458"/>
      <c r="E19" s="458"/>
      <c r="F19" s="458"/>
      <c r="G19" s="458"/>
    </row>
    <row r="20" spans="1:12" ht="13.5" customHeight="1">
      <c r="A20" s="458" t="s">
        <v>265</v>
      </c>
      <c r="B20" s="458"/>
      <c r="C20" s="458"/>
      <c r="D20" s="458"/>
      <c r="E20" s="458"/>
      <c r="F20" s="458"/>
      <c r="G20" s="458"/>
    </row>
    <row r="21" spans="1:12">
      <c r="A21" s="598"/>
      <c r="B21" s="598"/>
      <c r="C21" s="598"/>
      <c r="D21" s="598"/>
      <c r="E21" s="598"/>
      <c r="F21" s="598"/>
      <c r="G21" s="598"/>
    </row>
    <row r="22" spans="1:12" ht="13.5" customHeight="1">
      <c r="A22" s="531" t="s">
        <v>49</v>
      </c>
      <c r="B22" s="532"/>
      <c r="C22" s="532"/>
      <c r="D22" s="532"/>
      <c r="E22" s="532"/>
      <c r="F22" s="532"/>
      <c r="G22" s="533"/>
    </row>
    <row r="23" spans="1:12" s="99" customFormat="1" ht="13.5" customHeight="1">
      <c r="A23" s="646"/>
      <c r="B23" s="647"/>
      <c r="C23" s="647"/>
      <c r="D23" s="647"/>
      <c r="E23" s="647"/>
      <c r="F23" s="647"/>
      <c r="G23" s="648"/>
      <c r="L23" s="100"/>
    </row>
    <row r="24" spans="1:12" s="99" customFormat="1" ht="13.5" customHeight="1">
      <c r="A24" s="526" t="s">
        <v>384</v>
      </c>
      <c r="B24" s="527"/>
      <c r="C24" s="527"/>
      <c r="D24" s="527"/>
      <c r="E24" s="527"/>
      <c r="F24" s="527"/>
      <c r="G24" s="528"/>
      <c r="L24" s="100"/>
    </row>
    <row r="25" spans="1:12" s="99" customFormat="1" ht="13.5" customHeight="1">
      <c r="A25" s="505" t="s">
        <v>385</v>
      </c>
      <c r="B25" s="506"/>
      <c r="C25" s="506"/>
      <c r="D25" s="506"/>
      <c r="E25" s="506"/>
      <c r="F25" s="506"/>
      <c r="G25" s="507"/>
      <c r="L25" s="100"/>
    </row>
    <row r="26" spans="1:12" s="99" customFormat="1" ht="13.5" customHeight="1">
      <c r="A26" s="505" t="s">
        <v>364</v>
      </c>
      <c r="B26" s="506"/>
      <c r="C26" s="506"/>
      <c r="D26" s="506"/>
      <c r="E26" s="506"/>
      <c r="F26" s="506"/>
      <c r="G26" s="507"/>
      <c r="L26" s="100"/>
    </row>
    <row r="27" spans="1:12" s="100" customFormat="1" ht="13.5" customHeight="1">
      <c r="A27" s="505"/>
      <c r="B27" s="506"/>
      <c r="C27" s="506"/>
      <c r="D27" s="506"/>
      <c r="E27" s="506"/>
      <c r="F27" s="506"/>
      <c r="G27" s="507"/>
      <c r="H27" s="99"/>
      <c r="I27" s="99"/>
      <c r="J27" s="99"/>
      <c r="K27" s="99"/>
    </row>
    <row r="28" spans="1:12" s="99" customFormat="1" ht="13.5" customHeight="1">
      <c r="A28" s="526" t="s">
        <v>518</v>
      </c>
      <c r="B28" s="527"/>
      <c r="C28" s="527"/>
      <c r="D28" s="527"/>
      <c r="E28" s="527"/>
      <c r="F28" s="527"/>
      <c r="G28" s="528"/>
      <c r="L28" s="100"/>
    </row>
    <row r="29" spans="1:12" s="99" customFormat="1" ht="13.5" customHeight="1">
      <c r="A29" s="505" t="s">
        <v>392</v>
      </c>
      <c r="B29" s="506"/>
      <c r="C29" s="506"/>
      <c r="D29" s="506"/>
      <c r="E29" s="506"/>
      <c r="F29" s="506"/>
      <c r="G29" s="507"/>
      <c r="L29" s="100"/>
    </row>
    <row r="30" spans="1:12" s="99" customFormat="1" ht="13.5" customHeight="1">
      <c r="A30" s="505" t="s">
        <v>393</v>
      </c>
      <c r="B30" s="506"/>
      <c r="C30" s="506"/>
      <c r="D30" s="506"/>
      <c r="E30" s="506"/>
      <c r="F30" s="506"/>
      <c r="G30" s="507"/>
      <c r="L30" s="100"/>
    </row>
    <row r="31" spans="1:12" s="99" customFormat="1" ht="13.5" customHeight="1">
      <c r="A31" s="505" t="s">
        <v>396</v>
      </c>
      <c r="B31" s="506"/>
      <c r="C31" s="506"/>
      <c r="D31" s="506"/>
      <c r="E31" s="506"/>
      <c r="F31" s="506"/>
      <c r="G31" s="507"/>
      <c r="L31" s="100"/>
    </row>
    <row r="32" spans="1:12" s="99" customFormat="1" ht="13.5" customHeight="1">
      <c r="A32" s="505" t="s">
        <v>374</v>
      </c>
      <c r="B32" s="506"/>
      <c r="C32" s="506"/>
      <c r="D32" s="506"/>
      <c r="E32" s="506"/>
      <c r="F32" s="506"/>
      <c r="G32" s="507"/>
      <c r="L32" s="100"/>
    </row>
    <row r="33" spans="1:12" s="99" customFormat="1" ht="13.5" customHeight="1">
      <c r="A33" s="505" t="s">
        <v>394</v>
      </c>
      <c r="B33" s="506"/>
      <c r="C33" s="506"/>
      <c r="D33" s="506"/>
      <c r="E33" s="506"/>
      <c r="F33" s="506"/>
      <c r="G33" s="507"/>
      <c r="L33" s="100"/>
    </row>
    <row r="34" spans="1:12" s="99" customFormat="1" ht="13.5" customHeight="1">
      <c r="A34" s="505"/>
      <c r="B34" s="506"/>
      <c r="C34" s="506"/>
      <c r="D34" s="506"/>
      <c r="E34" s="506"/>
      <c r="F34" s="506"/>
      <c r="G34" s="507"/>
      <c r="L34" s="100"/>
    </row>
    <row r="35" spans="1:12" s="99" customFormat="1" ht="13.5" customHeight="1">
      <c r="A35" s="526" t="s">
        <v>386</v>
      </c>
      <c r="B35" s="527"/>
      <c r="C35" s="527"/>
      <c r="D35" s="527"/>
      <c r="E35" s="527"/>
      <c r="F35" s="527"/>
      <c r="G35" s="528"/>
      <c r="L35" s="100"/>
    </row>
    <row r="36" spans="1:12" s="99" customFormat="1" ht="13.5" customHeight="1">
      <c r="A36" s="505" t="s">
        <v>366</v>
      </c>
      <c r="B36" s="506"/>
      <c r="C36" s="506"/>
      <c r="D36" s="506"/>
      <c r="E36" s="506"/>
      <c r="F36" s="506"/>
      <c r="G36" s="507"/>
      <c r="L36" s="100"/>
    </row>
    <row r="37" spans="1:12" s="99" customFormat="1" ht="13.5" customHeight="1">
      <c r="A37" s="505" t="s">
        <v>367</v>
      </c>
      <c r="B37" s="506"/>
      <c r="C37" s="506"/>
      <c r="D37" s="506"/>
      <c r="E37" s="506"/>
      <c r="F37" s="506"/>
      <c r="G37" s="507"/>
      <c r="L37" s="100"/>
    </row>
    <row r="38" spans="1:12" s="99" customFormat="1" ht="13.5" customHeight="1">
      <c r="A38" s="505"/>
      <c r="B38" s="506"/>
      <c r="C38" s="506"/>
      <c r="D38" s="506"/>
      <c r="E38" s="506"/>
      <c r="F38" s="506"/>
      <c r="G38" s="507"/>
      <c r="L38" s="100"/>
    </row>
    <row r="39" spans="1:12" s="99" customFormat="1" ht="13.5" customHeight="1">
      <c r="A39" s="526" t="s">
        <v>387</v>
      </c>
      <c r="B39" s="527"/>
      <c r="C39" s="527"/>
      <c r="D39" s="527"/>
      <c r="E39" s="527"/>
      <c r="F39" s="527"/>
      <c r="G39" s="528"/>
      <c r="L39" s="100"/>
    </row>
    <row r="40" spans="1:12" s="99" customFormat="1" ht="13.5" customHeight="1">
      <c r="A40" s="505" t="s">
        <v>368</v>
      </c>
      <c r="B40" s="506"/>
      <c r="C40" s="506"/>
      <c r="D40" s="506"/>
      <c r="E40" s="506"/>
      <c r="F40" s="506"/>
      <c r="G40" s="507"/>
      <c r="L40" s="100"/>
    </row>
    <row r="41" spans="1:12" s="99" customFormat="1" ht="13.5" customHeight="1">
      <c r="A41" s="505" t="s">
        <v>372</v>
      </c>
      <c r="B41" s="506"/>
      <c r="C41" s="506"/>
      <c r="D41" s="506"/>
      <c r="E41" s="506"/>
      <c r="F41" s="506"/>
      <c r="G41" s="507"/>
      <c r="L41" s="100"/>
    </row>
    <row r="42" spans="1:12" s="99" customFormat="1" ht="13.5" customHeight="1">
      <c r="A42" s="505" t="s">
        <v>370</v>
      </c>
      <c r="B42" s="506"/>
      <c r="C42" s="506"/>
      <c r="D42" s="506"/>
      <c r="E42" s="506"/>
      <c r="F42" s="506"/>
      <c r="G42" s="507"/>
      <c r="L42" s="100"/>
    </row>
    <row r="43" spans="1:12" s="99" customFormat="1" ht="13.5" customHeight="1">
      <c r="A43" s="505"/>
      <c r="B43" s="506"/>
      <c r="C43" s="506"/>
      <c r="D43" s="506"/>
      <c r="E43" s="506"/>
      <c r="F43" s="506"/>
      <c r="G43" s="507"/>
      <c r="L43" s="100"/>
    </row>
    <row r="44" spans="1:12" s="99" customFormat="1" ht="13.5" customHeight="1">
      <c r="A44" s="526" t="s">
        <v>388</v>
      </c>
      <c r="B44" s="527"/>
      <c r="C44" s="527"/>
      <c r="D44" s="527"/>
      <c r="E44" s="527"/>
      <c r="F44" s="527"/>
      <c r="G44" s="528"/>
      <c r="L44" s="100"/>
    </row>
    <row r="45" spans="1:12" s="99" customFormat="1" ht="13.5" customHeight="1">
      <c r="A45" s="505" t="s">
        <v>371</v>
      </c>
      <c r="B45" s="506"/>
      <c r="C45" s="506"/>
      <c r="D45" s="506"/>
      <c r="E45" s="506"/>
      <c r="F45" s="506"/>
      <c r="G45" s="507"/>
      <c r="L45" s="100"/>
    </row>
    <row r="46" spans="1:12" s="99" customFormat="1" ht="13.5" customHeight="1">
      <c r="A46" s="505" t="s">
        <v>373</v>
      </c>
      <c r="B46" s="506"/>
      <c r="C46" s="506"/>
      <c r="D46" s="506"/>
      <c r="E46" s="506"/>
      <c r="F46" s="506"/>
      <c r="G46" s="507"/>
      <c r="L46" s="100"/>
    </row>
    <row r="47" spans="1:12" s="99" customFormat="1" ht="13.5" customHeight="1">
      <c r="A47" s="505" t="s">
        <v>376</v>
      </c>
      <c r="B47" s="506"/>
      <c r="C47" s="506"/>
      <c r="D47" s="506"/>
      <c r="E47" s="506"/>
      <c r="F47" s="506"/>
      <c r="G47" s="507"/>
      <c r="L47" s="100"/>
    </row>
    <row r="48" spans="1:12" s="99" customFormat="1" ht="13.5" customHeight="1">
      <c r="A48" s="505" t="s">
        <v>377</v>
      </c>
      <c r="B48" s="506"/>
      <c r="C48" s="506"/>
      <c r="D48" s="506"/>
      <c r="E48" s="506"/>
      <c r="F48" s="506"/>
      <c r="G48" s="507"/>
      <c r="L48" s="100"/>
    </row>
    <row r="49" spans="1:12" s="99" customFormat="1" ht="13.5" customHeight="1">
      <c r="A49" s="505" t="s">
        <v>375</v>
      </c>
      <c r="B49" s="506"/>
      <c r="C49" s="506"/>
      <c r="D49" s="506"/>
      <c r="E49" s="506"/>
      <c r="F49" s="506"/>
      <c r="G49" s="507"/>
      <c r="L49" s="100"/>
    </row>
    <row r="50" spans="1:12" s="99" customFormat="1" ht="13.5" customHeight="1">
      <c r="A50" s="505"/>
      <c r="B50" s="506"/>
      <c r="C50" s="506"/>
      <c r="D50" s="506"/>
      <c r="E50" s="506"/>
      <c r="F50" s="506"/>
      <c r="G50" s="507"/>
      <c r="L50" s="100"/>
    </row>
    <row r="51" spans="1:12" s="99" customFormat="1" ht="13.5" customHeight="1">
      <c r="A51" s="505" t="s">
        <v>523</v>
      </c>
      <c r="B51" s="506"/>
      <c r="C51" s="506"/>
      <c r="D51" s="506"/>
      <c r="E51" s="506"/>
      <c r="F51" s="506"/>
      <c r="G51" s="507"/>
      <c r="L51" s="100"/>
    </row>
    <row r="52" spans="1:12" s="99" customFormat="1" ht="13.5" customHeight="1">
      <c r="A52" s="505" t="s">
        <v>378</v>
      </c>
      <c r="B52" s="506"/>
      <c r="C52" s="506"/>
      <c r="D52" s="506"/>
      <c r="E52" s="506"/>
      <c r="F52" s="506"/>
      <c r="G52" s="507"/>
      <c r="L52" s="100"/>
    </row>
    <row r="53" spans="1:12" s="99" customFormat="1" ht="13.5" customHeight="1">
      <c r="A53" s="505" t="s">
        <v>379</v>
      </c>
      <c r="B53" s="506"/>
      <c r="C53" s="506"/>
      <c r="D53" s="506"/>
      <c r="E53" s="506"/>
      <c r="F53" s="506"/>
      <c r="G53" s="507"/>
      <c r="L53" s="100"/>
    </row>
    <row r="54" spans="1:12" s="99" customFormat="1" ht="13.5" customHeight="1">
      <c r="A54" s="505" t="s">
        <v>380</v>
      </c>
      <c r="B54" s="506"/>
      <c r="C54" s="506"/>
      <c r="D54" s="506"/>
      <c r="E54" s="506"/>
      <c r="F54" s="506"/>
      <c r="G54" s="507"/>
      <c r="L54" s="100"/>
    </row>
    <row r="55" spans="1:12" s="99" customFormat="1" ht="13.5" customHeight="1">
      <c r="A55" s="505" t="s">
        <v>381</v>
      </c>
      <c r="B55" s="506"/>
      <c r="C55" s="506"/>
      <c r="D55" s="506"/>
      <c r="E55" s="506"/>
      <c r="F55" s="506"/>
      <c r="G55" s="507"/>
      <c r="L55" s="100"/>
    </row>
    <row r="56" spans="1:12" s="99" customFormat="1" ht="13.5" customHeight="1">
      <c r="A56" s="505" t="s">
        <v>382</v>
      </c>
      <c r="B56" s="506"/>
      <c r="C56" s="506"/>
      <c r="D56" s="506"/>
      <c r="E56" s="506"/>
      <c r="F56" s="506"/>
      <c r="G56" s="507"/>
      <c r="L56" s="100"/>
    </row>
    <row r="57" spans="1:12" s="99" customFormat="1" ht="13.5" customHeight="1">
      <c r="A57" s="505" t="s">
        <v>389</v>
      </c>
      <c r="B57" s="506"/>
      <c r="C57" s="506"/>
      <c r="D57" s="506"/>
      <c r="E57" s="506"/>
      <c r="F57" s="506"/>
      <c r="G57" s="507"/>
      <c r="L57" s="100"/>
    </row>
    <row r="58" spans="1:12" s="100" customFormat="1" ht="13.5" customHeight="1">
      <c r="A58" s="505"/>
      <c r="B58" s="506"/>
      <c r="C58" s="506"/>
      <c r="D58" s="506"/>
      <c r="E58" s="506"/>
      <c r="F58" s="506"/>
      <c r="G58" s="507"/>
      <c r="H58" s="99"/>
      <c r="I58" s="99"/>
      <c r="J58" s="99"/>
      <c r="K58" s="99"/>
    </row>
    <row r="59" spans="1:12" s="79" customFormat="1" ht="21">
      <c r="A59" s="36" t="s">
        <v>32</v>
      </c>
      <c r="B59" s="183">
        <f>$B$1</f>
        <v>12</v>
      </c>
      <c r="C59" s="37" t="s">
        <v>40</v>
      </c>
      <c r="D59" s="38" t="str">
        <f>$E$1</f>
        <v>遭遇毎</v>
      </c>
      <c r="E59" s="564" t="str">
        <f>$B$2</f>
        <v>インペチュアス・ストライド</v>
      </c>
      <c r="F59" s="565"/>
      <c r="G59" s="566"/>
      <c r="L59" s="120"/>
    </row>
  </sheetData>
  <mergeCells count="62">
    <mergeCell ref="E59:G59"/>
    <mergeCell ref="A49:G49"/>
    <mergeCell ref="A52:G52"/>
    <mergeCell ref="A53:G53"/>
    <mergeCell ref="A54:G54"/>
    <mergeCell ref="A55:G55"/>
    <mergeCell ref="A56:G56"/>
    <mergeCell ref="A57:G57"/>
    <mergeCell ref="A58:G58"/>
    <mergeCell ref="A50:G50"/>
    <mergeCell ref="A51:G51"/>
    <mergeCell ref="A42:G42"/>
    <mergeCell ref="A43:G43"/>
    <mergeCell ref="A36:G36"/>
    <mergeCell ref="A44:G44"/>
    <mergeCell ref="A48:G48"/>
    <mergeCell ref="A47:G47"/>
    <mergeCell ref="A37:G37"/>
    <mergeCell ref="A38:G38"/>
    <mergeCell ref="A40:G40"/>
    <mergeCell ref="A45:G45"/>
    <mergeCell ref="A46:G46"/>
    <mergeCell ref="A39:G39"/>
    <mergeCell ref="A41:G41"/>
    <mergeCell ref="A24:G24"/>
    <mergeCell ref="A25:G25"/>
    <mergeCell ref="A26:G26"/>
    <mergeCell ref="A27:G27"/>
    <mergeCell ref="A28:G28"/>
    <mergeCell ref="A29:G29"/>
    <mergeCell ref="A33:G33"/>
    <mergeCell ref="A34:G34"/>
    <mergeCell ref="A35:G35"/>
    <mergeCell ref="A32:G32"/>
    <mergeCell ref="A30:G30"/>
    <mergeCell ref="A31:G31"/>
    <mergeCell ref="A23:G23"/>
    <mergeCell ref="B11:G11"/>
    <mergeCell ref="J11:K11"/>
    <mergeCell ref="B12:G12"/>
    <mergeCell ref="B13:G13"/>
    <mergeCell ref="B14:G14"/>
    <mergeCell ref="B15:G15"/>
    <mergeCell ref="B16:G16"/>
    <mergeCell ref="B17:G17"/>
    <mergeCell ref="A21:G21"/>
    <mergeCell ref="A22:G22"/>
    <mergeCell ref="A18:G18"/>
    <mergeCell ref="A19:G19"/>
    <mergeCell ref="A20:G20"/>
    <mergeCell ref="H4:L4"/>
    <mergeCell ref="B5:G5"/>
    <mergeCell ref="B10:G10"/>
    <mergeCell ref="B1:C1"/>
    <mergeCell ref="F1:G1"/>
    <mergeCell ref="B2:G2"/>
    <mergeCell ref="B4:G4"/>
    <mergeCell ref="B6:D6"/>
    <mergeCell ref="B7:D7"/>
    <mergeCell ref="B8:G8"/>
    <mergeCell ref="B9:G9"/>
    <mergeCell ref="J9:K9"/>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基本!$A$16:$A$19</xm:f>
          </x14:formula1>
          <xm:sqref>K8</xm:sqref>
        </x14:dataValidation>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基本!$D$27:$D$31</xm:f>
          </x14:formula1>
          <xm:sqref>I7</xm:sqref>
        </x14:dataValidation>
        <x14:dataValidation type="list" allowBlank="1" showInputMessage="1" showErrorMessage="1">
          <x14:formula1>
            <xm:f>基本!$C$27:$C$37</xm:f>
          </x14:formula1>
          <xm:sqref>I15</xm:sqref>
        </x14:dataValidation>
        <x14:dataValidation type="list" allowBlank="1" showInputMessage="1" showErrorMessage="1">
          <x14:formula1>
            <xm:f>基本!$A$5:$A$10</xm:f>
          </x14:formula1>
          <xm:sqref>I10 I8 K15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M52"/>
  <sheetViews>
    <sheetView zoomScaleNormal="100" workbookViewId="0">
      <selection activeCell="B2" sqref="B2:G2"/>
    </sheetView>
  </sheetViews>
  <sheetFormatPr defaultRowHeight="13.5"/>
  <cols>
    <col min="1" max="1" width="7.875" style="120" customWidth="1"/>
    <col min="2" max="2" width="8.5" style="120" customWidth="1"/>
    <col min="3" max="3" width="6.625" style="120" customWidth="1"/>
    <col min="4" max="4" width="15.75" style="120" customWidth="1"/>
    <col min="5" max="6" width="15.75" style="79" customWidth="1"/>
    <col min="7" max="7" width="18.25" style="79" customWidth="1"/>
    <col min="8" max="8" width="17.375" style="79" customWidth="1"/>
    <col min="9" max="9" width="14.625" style="79" customWidth="1"/>
    <col min="10" max="10" width="8.375" style="79" customWidth="1"/>
    <col min="11" max="11" width="7.5" style="79" customWidth="1"/>
    <col min="12" max="12" width="7.875" style="120" customWidth="1"/>
    <col min="13" max="13" width="9.25" style="120" customWidth="1"/>
    <col min="14" max="14" width="12.375" style="120" customWidth="1"/>
    <col min="15" max="16384" width="9" style="120"/>
  </cols>
  <sheetData>
    <row r="1" spans="1:13" ht="21">
      <c r="A1" s="105" t="s">
        <v>32</v>
      </c>
      <c r="B1" s="600">
        <v>16</v>
      </c>
      <c r="C1" s="601"/>
      <c r="D1" s="106" t="s">
        <v>40</v>
      </c>
      <c r="E1" s="107" t="s">
        <v>127</v>
      </c>
      <c r="F1" s="602"/>
      <c r="G1" s="603"/>
      <c r="H1" s="84" t="s">
        <v>55</v>
      </c>
    </row>
    <row r="2" spans="1:13" ht="24.75" customHeight="1">
      <c r="A2" s="106" t="s">
        <v>0</v>
      </c>
      <c r="B2" s="604" t="s">
        <v>598</v>
      </c>
      <c r="C2" s="604"/>
      <c r="D2" s="604"/>
      <c r="E2" s="604"/>
      <c r="F2" s="604"/>
      <c r="G2" s="604"/>
      <c r="H2" s="84" t="s">
        <v>56</v>
      </c>
    </row>
    <row r="3" spans="1:13" ht="19.5" customHeight="1">
      <c r="A3" s="90" t="s">
        <v>48</v>
      </c>
      <c r="B3" s="79"/>
      <c r="C3" s="79"/>
      <c r="D3" s="79"/>
      <c r="I3" s="84"/>
    </row>
    <row r="4" spans="1:13">
      <c r="A4" s="67" t="s">
        <v>46</v>
      </c>
      <c r="B4" s="480" t="s">
        <v>599</v>
      </c>
      <c r="C4" s="481"/>
      <c r="D4" s="481"/>
      <c r="E4" s="481"/>
      <c r="F4" s="481"/>
      <c r="G4" s="482"/>
      <c r="H4" s="394" t="s">
        <v>321</v>
      </c>
      <c r="I4" s="395"/>
      <c r="J4" s="395"/>
      <c r="K4" s="395"/>
      <c r="L4" s="396"/>
    </row>
    <row r="5" spans="1:13">
      <c r="A5" s="68" t="s">
        <v>39</v>
      </c>
      <c r="B5" s="480" t="s">
        <v>293</v>
      </c>
      <c r="C5" s="481"/>
      <c r="D5" s="481"/>
      <c r="E5" s="481"/>
      <c r="F5" s="481"/>
      <c r="G5" s="482"/>
      <c r="H5" s="318" t="s">
        <v>43</v>
      </c>
      <c r="I5" s="322" t="s">
        <v>70</v>
      </c>
      <c r="J5" s="322"/>
    </row>
    <row r="6" spans="1:13">
      <c r="A6" s="68" t="s">
        <v>7</v>
      </c>
      <c r="B6" s="629" t="s">
        <v>600</v>
      </c>
      <c r="C6" s="630"/>
      <c r="D6" s="631"/>
      <c r="E6" s="318" t="s">
        <v>43</v>
      </c>
      <c r="F6" s="152" t="str">
        <f>$I$5</f>
        <v>近接範囲</v>
      </c>
      <c r="G6" s="7"/>
      <c r="H6" s="318" t="s">
        <v>66</v>
      </c>
      <c r="I6" s="322" t="s">
        <v>67</v>
      </c>
      <c r="J6" s="322">
        <v>5</v>
      </c>
    </row>
    <row r="7" spans="1:13">
      <c r="A7" s="69" t="s">
        <v>6</v>
      </c>
      <c r="B7" s="654" t="s">
        <v>601</v>
      </c>
      <c r="C7" s="655"/>
      <c r="D7" s="656"/>
      <c r="E7" s="318" t="s">
        <v>66</v>
      </c>
      <c r="F7" s="152" t="str">
        <f>IF($I$6 = 0,"", $I$6)</f>
        <v>爆発</v>
      </c>
      <c r="G7" s="152">
        <f>IF($J$6 = 0,"", $J$6)</f>
        <v>5</v>
      </c>
      <c r="H7" s="318" t="s">
        <v>85</v>
      </c>
      <c r="I7" s="319" t="s">
        <v>116</v>
      </c>
      <c r="J7" s="84" t="s">
        <v>62</v>
      </c>
      <c r="L7" s="176" t="s">
        <v>318</v>
      </c>
    </row>
    <row r="8" spans="1:13" ht="13.5" customHeight="1">
      <c r="A8" s="69" t="s">
        <v>128</v>
      </c>
      <c r="B8" s="474" t="s">
        <v>602</v>
      </c>
      <c r="C8" s="475"/>
      <c r="D8" s="475"/>
      <c r="E8" s="475"/>
      <c r="F8" s="475"/>
      <c r="G8" s="476"/>
      <c r="H8" s="318" t="s">
        <v>51</v>
      </c>
      <c r="I8" s="319" t="s">
        <v>138</v>
      </c>
      <c r="J8" s="317">
        <f>IF($I$8 = "筋力",基本!$C$5,IF($I$8 = "耐久力",基本!$C$6,IF($I$8 = "敏捷力",基本!$C$7,IF($I$8 = "知力",基本!$C$8,IF($I$8 = "判断力",基本!$C$9,IF($I$8 = "筋力",基本!$C$10,""))))))</f>
        <v>6</v>
      </c>
      <c r="K8" s="319" t="s">
        <v>90</v>
      </c>
      <c r="L8" s="177">
        <f>$J$8+$L$9+$I$9</f>
        <v>23</v>
      </c>
    </row>
    <row r="9" spans="1:13" ht="13.5" customHeight="1">
      <c r="A9" s="71" t="s">
        <v>61</v>
      </c>
      <c r="B9" s="514" t="s">
        <v>603</v>
      </c>
      <c r="C9" s="475"/>
      <c r="D9" s="475"/>
      <c r="E9" s="475"/>
      <c r="F9" s="475"/>
      <c r="G9" s="476"/>
      <c r="H9" s="318" t="s">
        <v>58</v>
      </c>
      <c r="I9" s="319">
        <v>1</v>
      </c>
      <c r="J9" s="394" t="s">
        <v>53</v>
      </c>
      <c r="K9" s="396"/>
      <c r="L9" s="317">
        <f>IF($I$7=基本!$F$4,基本!$P$7,IF($I$7=基本!$F$13,基本!$P$16,IF($I$7=基本!$F$22,基本!$P$25,IF($I$7=基本!$F$31,基本!$P$34,IF($I$7=基本!$F$40,基本!$P$43,0)))))</f>
        <v>16</v>
      </c>
    </row>
    <row r="10" spans="1:13" ht="13.5" customHeight="1">
      <c r="A10" s="71"/>
      <c r="B10" s="505" t="s">
        <v>604</v>
      </c>
      <c r="C10" s="506"/>
      <c r="D10" s="506"/>
      <c r="E10" s="506"/>
      <c r="F10" s="506"/>
      <c r="G10" s="507"/>
      <c r="H10" s="320" t="s">
        <v>52</v>
      </c>
      <c r="I10" s="319" t="s">
        <v>138</v>
      </c>
      <c r="J10" s="88">
        <f>IF($I$8 = "筋力",基本!$C$5,IF($I$10 = "耐久力",基本!$C$6,IF($I$10 = "敏捷力",基本!$C$7,IF($I$10 = "知力",基本!$C$8,IF($I$10 = "判断力",基本!$C$9,IF($I$10 = "筋力",基本!$C$10,""))))))</f>
        <v>6</v>
      </c>
      <c r="L10" s="79"/>
    </row>
    <row r="11" spans="1:13" ht="13.5" customHeight="1">
      <c r="A11" s="71"/>
      <c r="B11" s="505"/>
      <c r="C11" s="506"/>
      <c r="D11" s="506"/>
      <c r="E11" s="506"/>
      <c r="F11" s="506"/>
      <c r="G11" s="507"/>
      <c r="H11" s="318" t="s">
        <v>59</v>
      </c>
      <c r="I11" s="319">
        <v>0</v>
      </c>
      <c r="J11" s="394" t="s">
        <v>54</v>
      </c>
      <c r="K11" s="396"/>
      <c r="L11" s="317">
        <f>IF($I$7=基本!$F$4,基本!$P$9,IF($I$7=基本!$F$13,基本!$P$18,IF($I$7=基本!$F$22,基本!$P$27,IF($I$7=基本!$F$31,基本!$P$36,IF($I$7=基本!$F$40,基本!$P$45,0)))))</f>
        <v>6</v>
      </c>
    </row>
    <row r="12" spans="1:13">
      <c r="A12" s="71"/>
      <c r="B12" s="505"/>
      <c r="C12" s="506"/>
      <c r="D12" s="506"/>
      <c r="E12" s="506"/>
      <c r="F12" s="506"/>
      <c r="G12" s="507"/>
      <c r="J12" s="120"/>
      <c r="K12" s="120"/>
      <c r="L12" s="176" t="s">
        <v>318</v>
      </c>
    </row>
    <row r="13" spans="1:13" ht="36" customHeight="1">
      <c r="A13" s="71"/>
      <c r="B13" s="657" t="str">
        <f>"シェリーの５マス以内では、イニシアチブロール 1d20+"&amp;技能!$A$8</f>
        <v>シェリーの５マス以内では、イニシアチブロール 1d20+16</v>
      </c>
      <c r="C13" s="658"/>
      <c r="D13" s="658"/>
      <c r="E13" s="658"/>
      <c r="F13" s="658"/>
      <c r="G13" s="659"/>
      <c r="H13" s="318" t="s">
        <v>86</v>
      </c>
      <c r="I13" s="319">
        <v>2</v>
      </c>
      <c r="J13" s="318" t="s">
        <v>44</v>
      </c>
      <c r="K13" s="319">
        <v>10</v>
      </c>
      <c r="L13" s="177">
        <f>$J$10+$L$11+$I$11</f>
        <v>12</v>
      </c>
    </row>
    <row r="14" spans="1:13" ht="36" customHeight="1">
      <c r="A14" s="71"/>
      <c r="B14" s="660" t="str">
        <f>"シェリーの心衣内で使用時、イニシアチブロール値 "&amp;技能!$A$32</f>
        <v>シェリーの心衣内で使用時、イニシアチブロール値 33</v>
      </c>
      <c r="C14" s="661"/>
      <c r="D14" s="661"/>
      <c r="E14" s="661"/>
      <c r="F14" s="661"/>
      <c r="G14" s="662"/>
      <c r="H14" s="318" t="s">
        <v>50</v>
      </c>
      <c r="I14" s="32">
        <f>IF($I$7=基本!$F$4,基本!$L$11,IF($I$7=基本!$F$13,基本!$L$20,IF($I$7=基本!$F$22,基本!$L$29,IF($I$7=基本!$F$31,基本!$L$38,IF($I$7=基本!$F$40,基本!$L$47,0)))))</f>
        <v>4</v>
      </c>
      <c r="J14" s="318" t="s">
        <v>44</v>
      </c>
      <c r="K14" s="32">
        <f>IF($I$7=基本!$F$4,基本!$N$11,IF($I$7=基本!$F$13,基本!$N$20,IF($I$7=基本!$F$22,基本!$N$29,IF($I$7=基本!$F$31,基本!$N$38,IF($I$7=基本!$F$40,基本!$N$47,0)))))</f>
        <v>8</v>
      </c>
      <c r="L14" s="177">
        <f>$J$10+$L$11+$I$11+($I$13*$K$13)</f>
        <v>32</v>
      </c>
      <c r="M14" s="91"/>
    </row>
    <row r="15" spans="1:13" ht="36" customHeight="1">
      <c r="A15" s="71"/>
      <c r="B15" s="657" t="str">
        <f>"シェリーから６マス離れると、イニシアチブロール 1d20+"&amp;技能!$A$8-2</f>
        <v>シェリーから６マス離れると、イニシアチブロール 1d20+14</v>
      </c>
      <c r="C15" s="658"/>
      <c r="D15" s="658"/>
      <c r="E15" s="658"/>
      <c r="F15" s="658"/>
      <c r="G15" s="659"/>
      <c r="H15" s="318" t="s">
        <v>60</v>
      </c>
      <c r="I15" s="319"/>
      <c r="J15" s="318" t="s">
        <v>315</v>
      </c>
      <c r="K15" s="319" t="s">
        <v>138</v>
      </c>
      <c r="L15" s="317">
        <f>IF($K$15 = "筋力",基本!$C$5,IF($K$15 = "耐久力",基本!$C$6,IF($K$15 = "敏捷力",基本!$C$7,IF($K$15 = "知力",基本!$C$8,IF($K$15 = "判断力",基本!$C$9,IF($K$15 = "魅力",基本!$C$10,""))))))</f>
        <v>6</v>
      </c>
    </row>
    <row r="16" spans="1:13" ht="36" customHeight="1">
      <c r="A16" s="71"/>
      <c r="B16" s="660" t="str">
        <f>"シェリーの心衣外で使用時、イニシアチブロール値 "&amp;技能!$A$32-2</f>
        <v>シェリーの心衣外で使用時、イニシアチブロール値 31</v>
      </c>
      <c r="C16" s="661"/>
      <c r="D16" s="661"/>
      <c r="E16" s="661"/>
      <c r="F16" s="661"/>
      <c r="G16" s="662"/>
      <c r="H16" s="175" t="s">
        <v>316</v>
      </c>
      <c r="I16" s="319">
        <v>12</v>
      </c>
    </row>
    <row r="17" spans="1:12" ht="13.5" customHeight="1">
      <c r="A17" s="72"/>
      <c r="B17" s="597"/>
      <c r="C17" s="598"/>
      <c r="D17" s="598"/>
      <c r="E17" s="598"/>
      <c r="F17" s="598"/>
      <c r="G17" s="599"/>
      <c r="J17" s="120"/>
      <c r="K17" s="120"/>
    </row>
    <row r="18" spans="1:12">
      <c r="A18" s="598"/>
      <c r="B18" s="598"/>
      <c r="C18" s="598"/>
      <c r="D18" s="598"/>
      <c r="E18" s="598"/>
      <c r="F18" s="598"/>
      <c r="G18" s="598"/>
    </row>
    <row r="19" spans="1:12" ht="13.5" customHeight="1">
      <c r="A19" s="531" t="s">
        <v>49</v>
      </c>
      <c r="B19" s="532"/>
      <c r="C19" s="532"/>
      <c r="D19" s="532"/>
      <c r="E19" s="532"/>
      <c r="F19" s="532"/>
      <c r="G19" s="533"/>
    </row>
    <row r="20" spans="1:12" s="99" customFormat="1" ht="13.5" customHeight="1">
      <c r="A20" s="646"/>
      <c r="B20" s="647"/>
      <c r="C20" s="647"/>
      <c r="D20" s="647"/>
      <c r="E20" s="647"/>
      <c r="F20" s="647"/>
      <c r="G20" s="648"/>
      <c r="L20" s="100"/>
    </row>
    <row r="21" spans="1:12" s="99" customFormat="1" ht="13.5" customHeight="1">
      <c r="A21" s="505" t="s">
        <v>605</v>
      </c>
      <c r="B21" s="506"/>
      <c r="C21" s="506"/>
      <c r="D21" s="506"/>
      <c r="E21" s="506"/>
      <c r="F21" s="506"/>
      <c r="G21" s="507"/>
      <c r="L21" s="100"/>
    </row>
    <row r="22" spans="1:12" s="99" customFormat="1" ht="13.5" customHeight="1">
      <c r="A22" s="505" t="s">
        <v>606</v>
      </c>
      <c r="B22" s="506"/>
      <c r="C22" s="506"/>
      <c r="D22" s="506"/>
      <c r="E22" s="506"/>
      <c r="F22" s="506"/>
      <c r="G22" s="507"/>
      <c r="L22" s="100"/>
    </row>
    <row r="23" spans="1:12" s="99" customFormat="1" ht="13.5" customHeight="1">
      <c r="A23" s="505" t="s">
        <v>608</v>
      </c>
      <c r="B23" s="506"/>
      <c r="C23" s="506"/>
      <c r="D23" s="506"/>
      <c r="E23" s="506"/>
      <c r="F23" s="506"/>
      <c r="G23" s="507"/>
      <c r="L23" s="100"/>
    </row>
    <row r="24" spans="1:12" s="99" customFormat="1" ht="13.5" customHeight="1">
      <c r="A24" s="505"/>
      <c r="B24" s="506"/>
      <c r="C24" s="506"/>
      <c r="D24" s="506"/>
      <c r="E24" s="506"/>
      <c r="F24" s="506"/>
      <c r="G24" s="507"/>
      <c r="L24" s="100"/>
    </row>
    <row r="25" spans="1:12" s="99" customFormat="1" ht="13.5" customHeight="1">
      <c r="A25" s="505" t="s">
        <v>607</v>
      </c>
      <c r="B25" s="506"/>
      <c r="C25" s="506"/>
      <c r="D25" s="506"/>
      <c r="E25" s="506"/>
      <c r="F25" s="506"/>
      <c r="G25" s="507"/>
      <c r="L25" s="100"/>
    </row>
    <row r="26" spans="1:12" s="99" customFormat="1" ht="13.5" customHeight="1">
      <c r="A26" s="505" t="s">
        <v>609</v>
      </c>
      <c r="B26" s="506"/>
      <c r="C26" s="506"/>
      <c r="D26" s="506"/>
      <c r="E26" s="506"/>
      <c r="F26" s="506"/>
      <c r="G26" s="507"/>
      <c r="L26" s="100"/>
    </row>
    <row r="27" spans="1:12" s="99" customFormat="1" ht="13.5" customHeight="1">
      <c r="A27" s="505" t="s">
        <v>613</v>
      </c>
      <c r="B27" s="506"/>
      <c r="C27" s="506"/>
      <c r="D27" s="506"/>
      <c r="E27" s="506"/>
      <c r="F27" s="506"/>
      <c r="G27" s="507"/>
      <c r="L27" s="100"/>
    </row>
    <row r="28" spans="1:12" s="99" customFormat="1" ht="13.5" customHeight="1">
      <c r="A28" s="505" t="s">
        <v>610</v>
      </c>
      <c r="B28" s="506"/>
      <c r="C28" s="506"/>
      <c r="D28" s="506"/>
      <c r="E28" s="506"/>
      <c r="F28" s="506"/>
      <c r="G28" s="507"/>
      <c r="L28" s="100"/>
    </row>
    <row r="29" spans="1:12" s="99" customFormat="1" ht="13.5" customHeight="1">
      <c r="A29" s="505" t="s">
        <v>611</v>
      </c>
      <c r="B29" s="506"/>
      <c r="C29" s="506"/>
      <c r="D29" s="506"/>
      <c r="E29" s="506"/>
      <c r="F29" s="506"/>
      <c r="G29" s="507"/>
      <c r="L29" s="100"/>
    </row>
    <row r="30" spans="1:12" s="99" customFormat="1" ht="13.5" customHeight="1">
      <c r="A30" s="505"/>
      <c r="B30" s="506"/>
      <c r="C30" s="506"/>
      <c r="D30" s="506"/>
      <c r="E30" s="506"/>
      <c r="F30" s="506"/>
      <c r="G30" s="507"/>
      <c r="L30" s="100"/>
    </row>
    <row r="31" spans="1:12" s="99" customFormat="1" ht="13.5" customHeight="1">
      <c r="A31" s="505" t="s">
        <v>612</v>
      </c>
      <c r="B31" s="506"/>
      <c r="C31" s="506"/>
      <c r="D31" s="506"/>
      <c r="E31" s="506"/>
      <c r="F31" s="506"/>
      <c r="G31" s="507"/>
      <c r="L31" s="100"/>
    </row>
    <row r="32" spans="1:12" s="100" customFormat="1" ht="13.5" customHeight="1">
      <c r="A32" s="505" t="s">
        <v>614</v>
      </c>
      <c r="B32" s="506"/>
      <c r="C32" s="506"/>
      <c r="D32" s="506"/>
      <c r="E32" s="506"/>
      <c r="F32" s="506"/>
      <c r="G32" s="507"/>
      <c r="H32" s="99"/>
      <c r="I32" s="99"/>
      <c r="J32" s="99"/>
      <c r="K32" s="99"/>
    </row>
    <row r="33" spans="1:12" s="100" customFormat="1" ht="13.5" customHeight="1">
      <c r="A33" s="505" t="s">
        <v>615</v>
      </c>
      <c r="B33" s="506"/>
      <c r="C33" s="506"/>
      <c r="D33" s="506"/>
      <c r="E33" s="506"/>
      <c r="F33" s="506"/>
      <c r="G33" s="507"/>
      <c r="H33" s="99"/>
      <c r="I33" s="99"/>
      <c r="J33" s="99"/>
      <c r="K33" s="99"/>
    </row>
    <row r="34" spans="1:12" s="99" customFormat="1" ht="13.5" customHeight="1">
      <c r="A34" s="505" t="s">
        <v>616</v>
      </c>
      <c r="B34" s="506"/>
      <c r="C34" s="506"/>
      <c r="D34" s="506"/>
      <c r="E34" s="506"/>
      <c r="F34" s="506"/>
      <c r="G34" s="507"/>
      <c r="L34" s="100"/>
    </row>
    <row r="35" spans="1:12" s="99" customFormat="1" ht="13.5" customHeight="1">
      <c r="A35" s="505" t="s">
        <v>617</v>
      </c>
      <c r="B35" s="506"/>
      <c r="C35" s="506"/>
      <c r="D35" s="506"/>
      <c r="E35" s="506"/>
      <c r="F35" s="506"/>
      <c r="G35" s="507"/>
      <c r="L35" s="100"/>
    </row>
    <row r="36" spans="1:12" s="99" customFormat="1" ht="13.5" customHeight="1">
      <c r="A36" s="505" t="s">
        <v>618</v>
      </c>
      <c r="B36" s="506"/>
      <c r="C36" s="506"/>
      <c r="D36" s="506"/>
      <c r="E36" s="506"/>
      <c r="F36" s="506"/>
      <c r="G36" s="507"/>
      <c r="L36" s="100"/>
    </row>
    <row r="37" spans="1:12" s="99" customFormat="1" ht="13.5" customHeight="1">
      <c r="A37" s="505"/>
      <c r="B37" s="506"/>
      <c r="C37" s="506"/>
      <c r="D37" s="506"/>
      <c r="E37" s="506"/>
      <c r="F37" s="506"/>
      <c r="G37" s="507"/>
      <c r="L37" s="100"/>
    </row>
    <row r="38" spans="1:12" s="99" customFormat="1" ht="13.5" customHeight="1">
      <c r="A38" s="505" t="s">
        <v>619</v>
      </c>
      <c r="B38" s="506"/>
      <c r="C38" s="506"/>
      <c r="D38" s="506"/>
      <c r="E38" s="506"/>
      <c r="F38" s="506"/>
      <c r="G38" s="507"/>
      <c r="L38" s="100"/>
    </row>
    <row r="39" spans="1:12" s="99" customFormat="1" ht="13.5" customHeight="1">
      <c r="A39" s="505" t="s">
        <v>620</v>
      </c>
      <c r="B39" s="506"/>
      <c r="C39" s="506"/>
      <c r="D39" s="506"/>
      <c r="E39" s="506"/>
      <c r="F39" s="506"/>
      <c r="G39" s="507"/>
      <c r="L39" s="100"/>
    </row>
    <row r="40" spans="1:12" s="99" customFormat="1" ht="13.5" customHeight="1">
      <c r="A40" s="505" t="s">
        <v>621</v>
      </c>
      <c r="B40" s="506"/>
      <c r="C40" s="506"/>
      <c r="D40" s="506"/>
      <c r="E40" s="506"/>
      <c r="F40" s="506"/>
      <c r="G40" s="507"/>
      <c r="L40" s="100"/>
    </row>
    <row r="41" spans="1:12" s="99" customFormat="1" ht="13.5" customHeight="1">
      <c r="A41" s="505" t="s">
        <v>623</v>
      </c>
      <c r="B41" s="506"/>
      <c r="C41" s="506"/>
      <c r="D41" s="506"/>
      <c r="E41" s="506"/>
      <c r="F41" s="506"/>
      <c r="G41" s="507"/>
      <c r="L41" s="100"/>
    </row>
    <row r="42" spans="1:12" s="99" customFormat="1" ht="13.5" customHeight="1">
      <c r="A42" s="505" t="s">
        <v>622</v>
      </c>
      <c r="B42" s="506"/>
      <c r="C42" s="506"/>
      <c r="D42" s="506"/>
      <c r="E42" s="506"/>
      <c r="F42" s="506"/>
      <c r="G42" s="507"/>
      <c r="L42" s="100"/>
    </row>
    <row r="43" spans="1:12" s="99" customFormat="1" ht="13.5" customHeight="1">
      <c r="A43" s="505" t="s">
        <v>624</v>
      </c>
      <c r="B43" s="506"/>
      <c r="C43" s="506"/>
      <c r="D43" s="506"/>
      <c r="E43" s="506"/>
      <c r="F43" s="506"/>
      <c r="G43" s="507"/>
      <c r="L43" s="100"/>
    </row>
    <row r="44" spans="1:12" s="99" customFormat="1" ht="13.5" customHeight="1">
      <c r="A44" s="505"/>
      <c r="B44" s="506"/>
      <c r="C44" s="506"/>
      <c r="D44" s="506"/>
      <c r="E44" s="506"/>
      <c r="F44" s="506"/>
      <c r="G44" s="507"/>
      <c r="L44" s="100"/>
    </row>
    <row r="45" spans="1:12" s="99" customFormat="1" ht="13.5" customHeight="1">
      <c r="A45" s="505" t="s">
        <v>625</v>
      </c>
      <c r="B45" s="506"/>
      <c r="C45" s="506"/>
      <c r="D45" s="506"/>
      <c r="E45" s="506"/>
      <c r="F45" s="506"/>
      <c r="G45" s="507"/>
      <c r="L45" s="100"/>
    </row>
    <row r="46" spans="1:12" s="99" customFormat="1" ht="13.5" customHeight="1">
      <c r="A46" s="505" t="s">
        <v>627</v>
      </c>
      <c r="B46" s="506"/>
      <c r="C46" s="506"/>
      <c r="D46" s="506"/>
      <c r="E46" s="506"/>
      <c r="F46" s="506"/>
      <c r="G46" s="507"/>
      <c r="L46" s="100"/>
    </row>
    <row r="47" spans="1:12" s="99" customFormat="1" ht="13.5" customHeight="1">
      <c r="A47" s="505" t="s">
        <v>626</v>
      </c>
      <c r="B47" s="506"/>
      <c r="C47" s="506"/>
      <c r="D47" s="506"/>
      <c r="E47" s="506"/>
      <c r="F47" s="506"/>
      <c r="G47" s="507"/>
      <c r="L47" s="100"/>
    </row>
    <row r="48" spans="1:12" s="99" customFormat="1" ht="13.5" customHeight="1">
      <c r="A48" s="505" t="s">
        <v>628</v>
      </c>
      <c r="B48" s="506"/>
      <c r="C48" s="506"/>
      <c r="D48" s="506"/>
      <c r="E48" s="506"/>
      <c r="F48" s="506"/>
      <c r="G48" s="507"/>
      <c r="L48" s="100"/>
    </row>
    <row r="49" spans="1:12" s="99" customFormat="1" ht="13.5" customHeight="1">
      <c r="A49" s="505"/>
      <c r="B49" s="506"/>
      <c r="C49" s="506"/>
      <c r="D49" s="506"/>
      <c r="E49" s="506"/>
      <c r="F49" s="506"/>
      <c r="G49" s="507"/>
      <c r="L49" s="100"/>
    </row>
    <row r="50" spans="1:12" s="99" customFormat="1" ht="13.5" customHeight="1">
      <c r="A50" s="505"/>
      <c r="B50" s="506"/>
      <c r="C50" s="506"/>
      <c r="D50" s="506"/>
      <c r="E50" s="506"/>
      <c r="F50" s="506"/>
      <c r="G50" s="507"/>
      <c r="L50" s="100"/>
    </row>
    <row r="51" spans="1:12" s="99" customFormat="1" ht="13.5" customHeight="1">
      <c r="A51" s="505"/>
      <c r="B51" s="506"/>
      <c r="C51" s="506"/>
      <c r="D51" s="506"/>
      <c r="E51" s="506"/>
      <c r="F51" s="506"/>
      <c r="G51" s="507"/>
      <c r="L51" s="100"/>
    </row>
    <row r="52" spans="1:12" s="79" customFormat="1" ht="21">
      <c r="A52" s="108" t="s">
        <v>32</v>
      </c>
      <c r="B52" s="321">
        <f>$B$1</f>
        <v>16</v>
      </c>
      <c r="C52" s="110" t="s">
        <v>40</v>
      </c>
      <c r="D52" s="111" t="str">
        <f>$E$1</f>
        <v>一日毎</v>
      </c>
      <c r="E52" s="594" t="str">
        <f>$B$2</f>
        <v>アンキャニィ･インスティンクツ</v>
      </c>
      <c r="F52" s="595"/>
      <c r="G52" s="596"/>
      <c r="L52" s="120"/>
    </row>
  </sheetData>
  <mergeCells count="55">
    <mergeCell ref="E52:G52"/>
    <mergeCell ref="A50:G50"/>
    <mergeCell ref="A51:G51"/>
    <mergeCell ref="A39:G39"/>
    <mergeCell ref="A40:G40"/>
    <mergeCell ref="A41:G41"/>
    <mergeCell ref="A42:G42"/>
    <mergeCell ref="A43:G43"/>
    <mergeCell ref="A44:G44"/>
    <mergeCell ref="A45:G45"/>
    <mergeCell ref="A46:G46"/>
    <mergeCell ref="A47:G47"/>
    <mergeCell ref="A48:G48"/>
    <mergeCell ref="A49:G49"/>
    <mergeCell ref="A38:G38"/>
    <mergeCell ref="A23:G23"/>
    <mergeCell ref="A24:G24"/>
    <mergeCell ref="A26:G26"/>
    <mergeCell ref="A27:G27"/>
    <mergeCell ref="A28:G28"/>
    <mergeCell ref="A29:G29"/>
    <mergeCell ref="A30:G30"/>
    <mergeCell ref="A34:G34"/>
    <mergeCell ref="A35:G35"/>
    <mergeCell ref="A36:G36"/>
    <mergeCell ref="A37:G37"/>
    <mergeCell ref="A33:G33"/>
    <mergeCell ref="A31:G31"/>
    <mergeCell ref="A25:G25"/>
    <mergeCell ref="A32:G32"/>
    <mergeCell ref="A18:G18"/>
    <mergeCell ref="A19:G19"/>
    <mergeCell ref="A20:G20"/>
    <mergeCell ref="A21:G21"/>
    <mergeCell ref="A22:G22"/>
    <mergeCell ref="B15:G15"/>
    <mergeCell ref="B16:G16"/>
    <mergeCell ref="B17:G17"/>
    <mergeCell ref="J9:K9"/>
    <mergeCell ref="B10:G10"/>
    <mergeCell ref="B11:G11"/>
    <mergeCell ref="J11:K11"/>
    <mergeCell ref="B12:G12"/>
    <mergeCell ref="B13:G13"/>
    <mergeCell ref="B14:G14"/>
    <mergeCell ref="B1:C1"/>
    <mergeCell ref="F1:G1"/>
    <mergeCell ref="B2:G2"/>
    <mergeCell ref="B4:G4"/>
    <mergeCell ref="H4:L4"/>
    <mergeCell ref="B5:G5"/>
    <mergeCell ref="B6:D6"/>
    <mergeCell ref="B7:D7"/>
    <mergeCell ref="B8:G8"/>
    <mergeCell ref="B9:G9"/>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S55"/>
  <sheetViews>
    <sheetView zoomScaleNormal="100" workbookViewId="0">
      <selection activeCell="B2" sqref="B2:G2"/>
    </sheetView>
  </sheetViews>
  <sheetFormatPr defaultRowHeight="13.5"/>
  <cols>
    <col min="1" max="1" width="7.875" style="120" customWidth="1"/>
    <col min="2" max="2" width="8.5" style="120" customWidth="1"/>
    <col min="3" max="3" width="6.625" style="120" customWidth="1"/>
    <col min="4" max="4" width="15.75" style="120" customWidth="1"/>
    <col min="5" max="6" width="15.75" style="79" customWidth="1"/>
    <col min="7" max="7" width="18.25" style="79" customWidth="1"/>
    <col min="8" max="8" width="17.375" style="79" customWidth="1"/>
    <col min="9" max="9" width="14.625" style="79" customWidth="1"/>
    <col min="10" max="10" width="8.375" style="79" customWidth="1"/>
    <col min="11" max="11" width="7.5" style="79" customWidth="1"/>
    <col min="12" max="12" width="7.875" style="120" customWidth="1"/>
    <col min="13" max="13" width="9.25" style="120" customWidth="1"/>
    <col min="14" max="14" width="12.375" style="120" customWidth="1"/>
    <col min="15" max="16384" width="9" style="120"/>
  </cols>
  <sheetData>
    <row r="1" spans="1:19" ht="21">
      <c r="A1" s="105" t="s">
        <v>121</v>
      </c>
      <c r="B1" s="600">
        <v>20</v>
      </c>
      <c r="C1" s="601"/>
      <c r="D1" s="106" t="s">
        <v>40</v>
      </c>
      <c r="E1" s="107" t="s">
        <v>122</v>
      </c>
      <c r="F1" s="602"/>
      <c r="G1" s="603"/>
      <c r="H1" s="84" t="s">
        <v>55</v>
      </c>
    </row>
    <row r="2" spans="1:19" ht="24.75" customHeight="1">
      <c r="A2" s="106" t="s">
        <v>0</v>
      </c>
      <c r="B2" s="604" t="s">
        <v>343</v>
      </c>
      <c r="C2" s="604"/>
      <c r="D2" s="604"/>
      <c r="E2" s="604"/>
      <c r="F2" s="604"/>
      <c r="G2" s="604"/>
      <c r="H2" s="84" t="s">
        <v>56</v>
      </c>
    </row>
    <row r="3" spans="1:19" ht="19.5" customHeight="1">
      <c r="A3" s="90" t="s">
        <v>48</v>
      </c>
      <c r="B3" s="79"/>
      <c r="C3" s="79"/>
      <c r="D3" s="79"/>
      <c r="I3" s="84"/>
    </row>
    <row r="4" spans="1:19">
      <c r="A4" s="67" t="s">
        <v>46</v>
      </c>
      <c r="B4" s="480" t="s">
        <v>344</v>
      </c>
      <c r="C4" s="481"/>
      <c r="D4" s="481"/>
      <c r="E4" s="481"/>
      <c r="F4" s="481"/>
      <c r="G4" s="482"/>
      <c r="H4" s="394" t="s">
        <v>646</v>
      </c>
      <c r="I4" s="395"/>
      <c r="J4" s="395"/>
      <c r="K4" s="395"/>
      <c r="L4" s="395"/>
      <c r="M4" s="396"/>
      <c r="N4" s="394" t="s">
        <v>646</v>
      </c>
      <c r="O4" s="395"/>
      <c r="P4" s="395"/>
      <c r="Q4" s="395"/>
      <c r="R4" s="395"/>
      <c r="S4" s="396"/>
    </row>
    <row r="5" spans="1:19">
      <c r="A5" s="68" t="s">
        <v>123</v>
      </c>
      <c r="B5" s="480" t="s">
        <v>330</v>
      </c>
      <c r="C5" s="481"/>
      <c r="D5" s="481"/>
      <c r="E5" s="481"/>
      <c r="F5" s="481"/>
      <c r="G5" s="482"/>
      <c r="H5" s="337" t="s">
        <v>43</v>
      </c>
      <c r="I5" s="338" t="s">
        <v>69</v>
      </c>
      <c r="J5" s="338" t="s">
        <v>100</v>
      </c>
      <c r="N5" s="337" t="s">
        <v>43</v>
      </c>
      <c r="O5" s="338" t="s">
        <v>71</v>
      </c>
      <c r="P5" s="338" t="s">
        <v>100</v>
      </c>
      <c r="Q5" s="79"/>
    </row>
    <row r="6" spans="1:19">
      <c r="A6" s="68" t="s">
        <v>124</v>
      </c>
      <c r="B6" s="480" t="s">
        <v>129</v>
      </c>
      <c r="C6" s="481"/>
      <c r="D6" s="482"/>
      <c r="E6" s="180" t="s">
        <v>43</v>
      </c>
      <c r="F6" s="179"/>
      <c r="G6" s="179"/>
      <c r="H6" s="337" t="s">
        <v>66</v>
      </c>
      <c r="I6" s="338"/>
      <c r="J6" s="338"/>
      <c r="N6" s="337" t="s">
        <v>66</v>
      </c>
      <c r="O6" s="338"/>
      <c r="P6" s="338"/>
      <c r="Q6" s="79"/>
    </row>
    <row r="7" spans="1:19">
      <c r="A7" s="112" t="s">
        <v>6</v>
      </c>
      <c r="B7" s="480"/>
      <c r="C7" s="481"/>
      <c r="D7" s="482"/>
      <c r="E7" s="180" t="s">
        <v>66</v>
      </c>
      <c r="F7" s="179"/>
      <c r="G7" s="179"/>
      <c r="H7" s="337" t="s">
        <v>85</v>
      </c>
      <c r="I7" s="338" t="s">
        <v>116</v>
      </c>
      <c r="J7" s="84" t="s">
        <v>62</v>
      </c>
      <c r="L7" s="176" t="s">
        <v>318</v>
      </c>
      <c r="N7" s="337" t="s">
        <v>85</v>
      </c>
      <c r="O7" s="338" t="s">
        <v>525</v>
      </c>
      <c r="P7" s="84" t="s">
        <v>62</v>
      </c>
      <c r="Q7" s="79"/>
      <c r="R7" s="176" t="s">
        <v>318</v>
      </c>
    </row>
    <row r="8" spans="1:19">
      <c r="A8" s="139" t="s">
        <v>61</v>
      </c>
      <c r="B8" s="567" t="s">
        <v>345</v>
      </c>
      <c r="C8" s="568"/>
      <c r="D8" s="568"/>
      <c r="E8" s="568"/>
      <c r="F8" s="568"/>
      <c r="G8" s="569"/>
      <c r="H8" s="337" t="s">
        <v>51</v>
      </c>
      <c r="I8" s="338" t="s">
        <v>12</v>
      </c>
      <c r="J8" s="336">
        <f>IF($I$8 = "筋力",基本!$C$5,IF($I$8 = "耐久力",基本!$C$6,IF($I$8 = "敏捷力",基本!$C$7,IF($I$8 = "知力",基本!$C$8,IF($I$8 = "判断力",基本!$C$9,IF($I$8 = "魅力",基本!$C$10,""))))))</f>
        <v>6</v>
      </c>
      <c r="K8" s="338" t="s">
        <v>90</v>
      </c>
      <c r="L8" s="177">
        <f>$J$8+$L$9+$I$9</f>
        <v>22</v>
      </c>
      <c r="N8" s="337" t="s">
        <v>51</v>
      </c>
      <c r="O8" s="338" t="s">
        <v>12</v>
      </c>
      <c r="P8" s="336">
        <f>IF(O8="",0,VLOOKUP(O8,基本!$A$5:'基本'!$C$10,3,FALSE))</f>
        <v>6</v>
      </c>
      <c r="Q8" s="338" t="s">
        <v>90</v>
      </c>
      <c r="R8" s="177">
        <f>$P$8+$O$9+$R$9</f>
        <v>22</v>
      </c>
    </row>
    <row r="9" spans="1:19">
      <c r="A9" s="71" t="s">
        <v>125</v>
      </c>
      <c r="B9" s="505" t="s">
        <v>346</v>
      </c>
      <c r="C9" s="506"/>
      <c r="D9" s="506"/>
      <c r="E9" s="506"/>
      <c r="F9" s="506"/>
      <c r="G9" s="507"/>
      <c r="H9" s="337" t="s">
        <v>58</v>
      </c>
      <c r="I9" s="338">
        <v>0</v>
      </c>
      <c r="J9" s="394" t="s">
        <v>53</v>
      </c>
      <c r="K9" s="396"/>
      <c r="L9" s="336">
        <f>IF($I$7=基本!$F$4,基本!$P$7,IF($I$7=基本!$F$13,基本!$P$16,IF($I$7=基本!$F$22,基本!$P$25,IF($I$7=基本!$F$31,基本!$P$34,IF($I$7=基本!$F$40,基本!$P$43,0)))))</f>
        <v>16</v>
      </c>
      <c r="N9" s="337" t="s">
        <v>58</v>
      </c>
      <c r="O9" s="338">
        <v>0</v>
      </c>
      <c r="P9" s="394" t="s">
        <v>53</v>
      </c>
      <c r="Q9" s="396"/>
      <c r="R9" s="336">
        <f>IF($O$7=基本!$F$4,基本!$P$7,IF($O$7=基本!$F$13,基本!$P$16,IF($O$7=基本!$F$22,基本!$P$25,IF($O$7=基本!$F$31,基本!$P$34,IF($O$7=基本!$F$40,基本!$P$43,0)))))</f>
        <v>16</v>
      </c>
    </row>
    <row r="10" spans="1:19">
      <c r="A10" s="71"/>
      <c r="B10" s="505" t="s">
        <v>347</v>
      </c>
      <c r="C10" s="506"/>
      <c r="D10" s="506"/>
      <c r="E10" s="506"/>
      <c r="F10" s="506"/>
      <c r="G10" s="507"/>
      <c r="H10" s="339" t="s">
        <v>52</v>
      </c>
      <c r="I10" s="338" t="s">
        <v>12</v>
      </c>
      <c r="J10" s="88">
        <f>IF(I10 = "筋力",基本!$C$5,IF(I10 = "耐久力",基本!$C$6,IF(I10 = "敏捷力",基本!$C$7,IF(I10 = "知力",基本!$C$8,IF(I10 = "判断力",基本!$C$9,IF(I10 = "魅力",基本!$C$10,""))))))</f>
        <v>6</v>
      </c>
      <c r="K10" s="338" t="s">
        <v>16</v>
      </c>
      <c r="L10" s="88">
        <f>IF(K10 = "筋力",基本!$C$5,IF(K10 = "耐久力",基本!$C$6,IF(K10 = "敏捷力",基本!$C$7,IF(K10 = "知力",基本!$C$8,IF(K10 = "判断力",基本!$C$9,IF(K10 = "魅力",基本!$C$10,""))))))</f>
        <v>6</v>
      </c>
      <c r="N10" s="339" t="s">
        <v>52</v>
      </c>
      <c r="O10" s="338" t="s">
        <v>12</v>
      </c>
      <c r="P10" s="88">
        <f>IF(O10 = "筋力",基本!$C$5,IF(O10 = "耐久力",基本!$C$6,IF(O10 = "敏捷力",基本!$C$7,IF(O10 = "知力",基本!$C$8,IF(O10 = "判断力",基本!$C$9,IF(O10 = "魅力",基本!$C$10,""))))))</f>
        <v>6</v>
      </c>
      <c r="Q10" s="338" t="s">
        <v>16</v>
      </c>
      <c r="R10" s="88">
        <f>IF(Q10 = "筋力",基本!$C$5,IF(Q10 = "耐久力",基本!$C$6,IF(Q10 = "敏捷力",基本!$C$7,IF(Q10 = "知力",基本!$C$8,IF(Q10 = "判断力",基本!$C$9,IF(Q10 = "魅力",基本!$C$10,""))))))</f>
        <v>6</v>
      </c>
    </row>
    <row r="11" spans="1:19">
      <c r="A11" s="71"/>
      <c r="B11" s="505" t="s">
        <v>349</v>
      </c>
      <c r="C11" s="506"/>
      <c r="D11" s="506"/>
      <c r="E11" s="506"/>
      <c r="F11" s="506"/>
      <c r="G11" s="507"/>
      <c r="H11" s="337" t="s">
        <v>59</v>
      </c>
      <c r="I11" s="338">
        <v>0</v>
      </c>
      <c r="J11" s="394" t="s">
        <v>54</v>
      </c>
      <c r="K11" s="396"/>
      <c r="L11" s="336">
        <f>IF($I$7=基本!$F$4,基本!$P$9,IF($I$7=基本!$F$13,基本!$P$18,IF($I$7=基本!$F$22,基本!$P$27,IF($I$7=基本!$F$31,基本!$P$36,IF($I$7=基本!$F$40,基本!$P$45,0)))))</f>
        <v>6</v>
      </c>
      <c r="N11" s="337" t="s">
        <v>59</v>
      </c>
      <c r="O11" s="338">
        <v>0</v>
      </c>
      <c r="P11" s="394" t="s">
        <v>54</v>
      </c>
      <c r="Q11" s="396"/>
      <c r="R11" s="336">
        <f>IF($O$7=基本!$F$4,基本!$P$9,IF($O$7=基本!$F$13,基本!$P$18,IF($O$7=基本!$F$22,基本!$P$27,IF($O$7=基本!$F$31,基本!$P$36,IF($O$7=基本!$F$40,基本!$P$45,0)))))</f>
        <v>6</v>
      </c>
    </row>
    <row r="12" spans="1:19" ht="13.5" customHeight="1">
      <c r="A12" s="71"/>
      <c r="B12" s="505" t="s">
        <v>350</v>
      </c>
      <c r="C12" s="506"/>
      <c r="D12" s="506"/>
      <c r="E12" s="506"/>
      <c r="F12" s="506"/>
      <c r="G12" s="507"/>
      <c r="H12" s="340" t="s">
        <v>319</v>
      </c>
      <c r="I12" s="338">
        <v>2</v>
      </c>
      <c r="J12" s="120"/>
      <c r="K12" s="120"/>
      <c r="L12" s="176" t="s">
        <v>318</v>
      </c>
      <c r="M12" s="334" t="s">
        <v>60</v>
      </c>
      <c r="N12" s="340" t="s">
        <v>319</v>
      </c>
      <c r="O12" s="338">
        <v>2</v>
      </c>
      <c r="R12" s="176" t="s">
        <v>318</v>
      </c>
      <c r="S12" s="334" t="s">
        <v>60</v>
      </c>
    </row>
    <row r="13" spans="1:19" ht="13.5" customHeight="1">
      <c r="A13" s="71"/>
      <c r="B13" s="505" t="s">
        <v>351</v>
      </c>
      <c r="C13" s="506"/>
      <c r="D13" s="506"/>
      <c r="E13" s="506"/>
      <c r="F13" s="506"/>
      <c r="G13" s="507"/>
      <c r="H13" s="340" t="s">
        <v>86</v>
      </c>
      <c r="I13" s="32">
        <f>IF($I$7=基本!$F$4,基本!$F$9,IF($I$7=基本!$F$13,基本!$F$18,IF($I$7=基本!$F$22,基本!$F$27,IF($I$7=基本!$F$31,基本!$F$36,IF($I$7=基本!$F$40,基本!$F$45,0)))))*$I$12</f>
        <v>2</v>
      </c>
      <c r="J13" s="337" t="s">
        <v>44</v>
      </c>
      <c r="K13" s="32">
        <f>IF($I$7=基本!$F$4,基本!$H$9,IF($I$7=基本!$F$13,基本!$H$18,IF($I$7=基本!$F$22,基本!$H$27,IF($I$7=基本!$F$31,基本!$H$36,IF($I$7=基本!$F$40,基本!$H$45,0)))))</f>
        <v>10</v>
      </c>
      <c r="L13" s="177">
        <f>$J$10+$L$11+$I$11</f>
        <v>12</v>
      </c>
      <c r="M13" s="338"/>
      <c r="N13" s="340" t="s">
        <v>86</v>
      </c>
      <c r="O13" s="42">
        <f>IF($O$7=基本!$F$4,基本!$F$9,IF($O$7=基本!$F$13,基本!$F$18,IF($O$7=基本!$F$22,基本!$F$27,IF($O$7=基本!$F$31,基本!$F$36,IF($O$7=基本!$F$40,基本!$F$45,0)))))*$O$12</f>
        <v>2</v>
      </c>
      <c r="P13" s="337" t="s">
        <v>44</v>
      </c>
      <c r="Q13" s="42">
        <f>IF($O$7=基本!$F$4,基本!$H$9,IF($O$7=基本!$F$13,基本!$H$18,IF($O$7=基本!$F$22,基本!$H$27,IF($O$7=基本!$F$31,基本!$H$36,IF($O$7=基本!$F$40,基本!$H$45,0)))))</f>
        <v>6</v>
      </c>
      <c r="R13" s="177">
        <f>$P$10+$O$11+$R$11</f>
        <v>12</v>
      </c>
      <c r="S13" s="338"/>
    </row>
    <row r="14" spans="1:19" ht="13.5" customHeight="1">
      <c r="A14" s="71"/>
      <c r="B14" s="505" t="s">
        <v>348</v>
      </c>
      <c r="C14" s="506"/>
      <c r="D14" s="506"/>
      <c r="E14" s="506"/>
      <c r="F14" s="506"/>
      <c r="G14" s="507"/>
      <c r="H14" s="337" t="s">
        <v>50</v>
      </c>
      <c r="I14" s="32">
        <f>IF($I$7=基本!$F$4,基本!$L$11,IF($I$7=基本!$F$13,基本!$L$20,IF($I$7=基本!$F$22,基本!$L$29,IF($I$7=基本!$F$31,基本!$L$38,IF($I$7=基本!$F$40,基本!$L$47,0)))))</f>
        <v>4</v>
      </c>
      <c r="J14" s="337" t="s">
        <v>44</v>
      </c>
      <c r="K14" s="32">
        <f>IF($I$7=基本!$F$4,基本!$N$11,IF($I$7=基本!$F$13,基本!$N$20,IF($I$7=基本!$F$22,基本!$N$29,IF($I$7=基本!$F$31,基本!$N$38,IF($I$7=基本!$F$40,基本!$N$47,0)))))</f>
        <v>8</v>
      </c>
      <c r="L14" s="177">
        <f>$J$10+$L$11+$I$11+($I$13*$K$13)</f>
        <v>32</v>
      </c>
      <c r="M14" s="338"/>
      <c r="N14" s="337" t="s">
        <v>50</v>
      </c>
      <c r="O14" s="42">
        <f>IF($O$7=基本!$F$4,基本!$L$11,IF($O$7=基本!$F$13,基本!$L$20,IF($O$7=基本!$F$22,基本!$L$29,IF($O$7=基本!$F$31,基本!$L$38,IF($O$7=基本!$F$40,基本!$L$47,0)))))</f>
        <v>4</v>
      </c>
      <c r="P14" s="337" t="s">
        <v>44</v>
      </c>
      <c r="Q14" s="42">
        <f>IF($O$7=基本!$F$4,基本!$N$11,IF($O$7=基本!$F$13,基本!$N$20,IF($O$7=基本!$F$22,基本!$N$29,IF($O$7=基本!$F$31,基本!$N$38,IF($O$7=基本!$F$40,基本!$N$47,0)))))</f>
        <v>6</v>
      </c>
      <c r="R14" s="177">
        <f>$P$10+$R$11+$O$11+($O$13*$Q$13)</f>
        <v>24</v>
      </c>
      <c r="S14" s="338"/>
    </row>
    <row r="15" spans="1:19" ht="13.5" customHeight="1">
      <c r="A15" s="68" t="s">
        <v>7</v>
      </c>
      <c r="B15" s="480" t="s">
        <v>5</v>
      </c>
      <c r="C15" s="481"/>
      <c r="D15" s="482"/>
      <c r="E15" s="180" t="s">
        <v>43</v>
      </c>
      <c r="F15" s="336" t="str">
        <f>$I$5</f>
        <v>近接</v>
      </c>
      <c r="G15" s="336" t="str">
        <f>IF($J$5 = 0,"", $J$5)</f>
        <v>武器</v>
      </c>
      <c r="H15" s="120"/>
      <c r="I15" s="120"/>
      <c r="J15" s="120"/>
      <c r="K15" s="120"/>
    </row>
    <row r="16" spans="1:19" ht="13.5" customHeight="1">
      <c r="A16" s="140" t="s">
        <v>6</v>
      </c>
      <c r="B16" s="505" t="s">
        <v>91</v>
      </c>
      <c r="C16" s="506"/>
      <c r="D16" s="506"/>
      <c r="E16" s="506"/>
      <c r="F16" s="506"/>
      <c r="G16" s="507"/>
      <c r="H16" s="120"/>
      <c r="I16" s="120"/>
      <c r="J16" s="120"/>
      <c r="K16" s="120"/>
    </row>
    <row r="17" spans="1:11" ht="13.5" customHeight="1">
      <c r="A17" s="71" t="s">
        <v>8</v>
      </c>
      <c r="B17" s="480" t="s">
        <v>275</v>
      </c>
      <c r="C17" s="481"/>
      <c r="D17" s="481"/>
      <c r="E17" s="481"/>
      <c r="F17" s="481"/>
      <c r="G17" s="482"/>
      <c r="H17" s="120"/>
      <c r="I17" s="120"/>
      <c r="J17" s="120"/>
      <c r="K17" s="120"/>
    </row>
    <row r="18" spans="1:11" ht="13.5" customHeight="1">
      <c r="A18" s="70" t="s">
        <v>9</v>
      </c>
      <c r="B18" s="474" t="s">
        <v>352</v>
      </c>
      <c r="C18" s="475"/>
      <c r="D18" s="475"/>
      <c r="E18" s="475"/>
      <c r="F18" s="475"/>
      <c r="G18" s="476"/>
      <c r="H18" s="120"/>
      <c r="I18" s="120"/>
      <c r="J18" s="120"/>
      <c r="K18" s="120"/>
    </row>
    <row r="19" spans="1:11" ht="13.5" customHeight="1">
      <c r="A19" s="72"/>
      <c r="B19" s="578" t="s">
        <v>353</v>
      </c>
      <c r="C19" s="503"/>
      <c r="D19" s="503"/>
      <c r="E19" s="503"/>
      <c r="F19" s="503"/>
      <c r="G19" s="504"/>
    </row>
    <row r="20" spans="1:11" ht="13.5" customHeight="1">
      <c r="A20" s="71" t="s">
        <v>157</v>
      </c>
      <c r="B20" s="505" t="s">
        <v>158</v>
      </c>
      <c r="C20" s="506"/>
      <c r="D20" s="506"/>
      <c r="E20" s="506"/>
      <c r="F20" s="506"/>
      <c r="G20" s="507"/>
    </row>
    <row r="21" spans="1:11" ht="13.5" customHeight="1">
      <c r="A21" s="71"/>
      <c r="B21" s="505" t="s">
        <v>354</v>
      </c>
      <c r="C21" s="506"/>
      <c r="D21" s="506"/>
      <c r="E21" s="506"/>
      <c r="F21" s="506"/>
      <c r="G21" s="507"/>
    </row>
    <row r="22" spans="1:11" ht="13.5" customHeight="1">
      <c r="A22" s="72"/>
      <c r="B22" s="578"/>
      <c r="C22" s="503"/>
      <c r="D22" s="503"/>
      <c r="E22" s="503"/>
      <c r="F22" s="503"/>
      <c r="G22" s="504"/>
    </row>
    <row r="23" spans="1:11" ht="14.25" thickBot="1">
      <c r="A23" s="113" t="s">
        <v>47</v>
      </c>
      <c r="E23" s="80"/>
    </row>
    <row r="24" spans="1:11" ht="15" customHeight="1">
      <c r="A24" s="587" t="str">
        <f>$B$2</f>
        <v>フォーム・オヴ・ザ・リーピング・スタッグ</v>
      </c>
      <c r="B24" s="588"/>
      <c r="C24" s="589"/>
      <c r="D24" s="550" t="s">
        <v>2</v>
      </c>
      <c r="E24" s="551"/>
      <c r="F24" s="552" t="s">
        <v>525</v>
      </c>
      <c r="G24" s="553"/>
      <c r="H24" s="120"/>
      <c r="I24" s="120"/>
      <c r="J24" s="120"/>
      <c r="K24" s="120"/>
    </row>
    <row r="25" spans="1:11" ht="18.75" customHeight="1" thickBot="1">
      <c r="A25" s="590"/>
      <c r="B25" s="591"/>
      <c r="C25" s="592"/>
      <c r="D25" s="190" t="s">
        <v>2</v>
      </c>
      <c r="E25" s="191" t="s">
        <v>1</v>
      </c>
      <c r="F25" s="190" t="s">
        <v>2</v>
      </c>
      <c r="G25" s="343" t="s">
        <v>1</v>
      </c>
      <c r="H25" s="120"/>
      <c r="I25" s="120"/>
      <c r="J25" s="120"/>
      <c r="K25" s="120"/>
    </row>
    <row r="26" spans="1:11" ht="21" customHeight="1">
      <c r="A26" s="540" t="s">
        <v>42</v>
      </c>
      <c r="B26" s="186" t="s">
        <v>117</v>
      </c>
      <c r="C26" s="542" t="str">
        <f>$K$8</f>
        <v>AC</v>
      </c>
      <c r="D26" s="185" t="str">
        <f>$L$8 &amp; "+1d20"</f>
        <v>22+1d20</v>
      </c>
      <c r="E26" s="198" t="str">
        <f>$L$8+2 &amp; "+1d20"</f>
        <v>24+1d20</v>
      </c>
      <c r="F26" s="185" t="str">
        <f>$R$8 &amp; "+1d20"</f>
        <v>22+1d20</v>
      </c>
      <c r="G26" s="344" t="str">
        <f>$R$8+2 &amp; "+1d20"</f>
        <v>24+1d20</v>
      </c>
      <c r="H26" s="120"/>
      <c r="I26" s="120"/>
      <c r="J26" s="120"/>
      <c r="K26" s="120"/>
    </row>
    <row r="27" spans="1:11" ht="24" customHeight="1" thickBot="1">
      <c r="A27" s="541"/>
      <c r="B27" s="345" t="s">
        <v>409</v>
      </c>
      <c r="C27" s="543"/>
      <c r="D27" s="199" t="str">
        <f>3+$L$8 &amp; "+1d20"</f>
        <v>25+1d20</v>
      </c>
      <c r="E27" s="346" t="str">
        <f>3+$L$8+2 &amp; "+1d20"</f>
        <v>27+1d20</v>
      </c>
      <c r="F27" s="199" t="str">
        <f>3+$R$8 &amp; "+1d20"</f>
        <v>25+1d20</v>
      </c>
      <c r="G27" s="200" t="str">
        <f>3+$R$8+2 &amp; "+1d20"</f>
        <v>27+1d20</v>
      </c>
      <c r="H27" s="120"/>
      <c r="I27" s="120"/>
      <c r="J27" s="120"/>
      <c r="K27" s="120"/>
    </row>
    <row r="28" spans="1:11" ht="23.25" customHeight="1">
      <c r="A28" s="470" t="s">
        <v>360</v>
      </c>
      <c r="B28" s="137" t="s">
        <v>4</v>
      </c>
      <c r="C28" s="335" t="str">
        <f>IF($M$13 = 0,"", $M$13)</f>
        <v/>
      </c>
      <c r="D28" s="56" t="str">
        <f>-2+$L$13 &amp; "+" &amp; $I$13 &amp; "d" &amp; $K$13</f>
        <v>10+2d10</v>
      </c>
      <c r="E28" s="56" t="str">
        <f>-2+$L$13 &amp; "+" &amp; $I$13 &amp; "d" &amp; $K$13</f>
        <v>10+2d10</v>
      </c>
      <c r="F28" s="56" t="str">
        <f>-2+$R$13 &amp; "+" &amp; $O$13 &amp; "d" &amp; $Q$13</f>
        <v>10+2d6</v>
      </c>
      <c r="G28" s="57" t="str">
        <f>-2+$R$13 &amp; "+" &amp; $O$13 &amp; "d" &amp; $Q$13</f>
        <v>10+2d6</v>
      </c>
      <c r="H28" s="120"/>
      <c r="I28" s="120"/>
      <c r="J28" s="120"/>
      <c r="K28" s="120"/>
    </row>
    <row r="29" spans="1:11" ht="23.25" customHeight="1" thickBot="1">
      <c r="A29" s="471"/>
      <c r="B29" s="148" t="s">
        <v>3</v>
      </c>
      <c r="C29" s="347" t="str">
        <f>IF($M$14 = 0,"", $M$14)</f>
        <v/>
      </c>
      <c r="D29" s="150" t="str">
        <f>-2+$L$14 &amp; IF($I$14 =0,"","＆別の敵へ" &amp; $I$14 &amp; "d" &amp; $K$14)</f>
        <v>30＆別の敵へ4d8</v>
      </c>
      <c r="E29" s="150" t="str">
        <f t="shared" ref="E29" si="0">-2+$L$14 &amp; IF($I$14 =0,"","＆別の敵へ" &amp; $I$14 &amp; "d" &amp; $K$14)</f>
        <v>30＆別の敵へ4d8</v>
      </c>
      <c r="F29" s="150" t="str">
        <f>-2+$R$14 &amp; IF($O$14 = 0,"","+" &amp; $O$14 &amp; "d" &amp; $Q$14)</f>
        <v>22+4d6</v>
      </c>
      <c r="G29" s="305" t="str">
        <f>-2+$R$14 &amp; IF($O$14 = 0,"","+" &amp; $O$14 &amp; "d" &amp; $Q$14)</f>
        <v>22+4d6</v>
      </c>
      <c r="H29" s="120"/>
      <c r="I29" s="120"/>
      <c r="J29" s="120"/>
      <c r="K29" s="120"/>
    </row>
    <row r="30" spans="1:11" ht="23.25" customHeight="1">
      <c r="A30" s="455" t="s">
        <v>136</v>
      </c>
      <c r="B30" s="137" t="s">
        <v>4</v>
      </c>
      <c r="C30" s="335" t="str">
        <f>IF($M$13 = 0,"", $M$13)</f>
        <v/>
      </c>
      <c r="D30" s="56" t="str">
        <f>$L$13 &amp; "+" &amp; $I$13 &amp; "d" &amp; $K$13</f>
        <v>12+2d10</v>
      </c>
      <c r="E30" s="56" t="str">
        <f>$L$13 &amp; "+" &amp; $I$13 &amp; "d" &amp; $K$13</f>
        <v>12+2d10</v>
      </c>
      <c r="F30" s="56" t="str">
        <f>$R$13 &amp; "+" &amp; $O$13 &amp; "d" &amp; $Q$13</f>
        <v>12+2d6</v>
      </c>
      <c r="G30" s="57" t="str">
        <f>$R$13 &amp; "+" &amp; $O$13 &amp; "d" &amp; $Q$13</f>
        <v>12+2d6</v>
      </c>
      <c r="H30" s="120"/>
      <c r="I30" s="120"/>
      <c r="J30" s="120"/>
      <c r="K30" s="120"/>
    </row>
    <row r="31" spans="1:11" ht="23.25" customHeight="1" thickBot="1">
      <c r="A31" s="557"/>
      <c r="B31" s="148" t="s">
        <v>3</v>
      </c>
      <c r="C31" s="347" t="str">
        <f>IF($M$14 = 0,"", $M$14)</f>
        <v/>
      </c>
      <c r="D31" s="333" t="str">
        <f>$L$14 &amp; IF($I$14 =0,"","＆別の敵へ" &amp; $I$14 &amp; "d" &amp; $K$14)</f>
        <v>32＆別の敵へ4d8</v>
      </c>
      <c r="E31" s="333" t="str">
        <f t="shared" ref="E31" si="1">$L$14 &amp; IF($I$14 =0,"","＆別の敵へ" &amp; $I$14 &amp; "d" &amp; $K$14)</f>
        <v>32＆別の敵へ4d8</v>
      </c>
      <c r="F31" s="333" t="str">
        <f>$R$14 &amp; IF($O$14 = 0,"","+" &amp; $O$14 &amp; "d" &amp; $Q$14)</f>
        <v>24+4d6</v>
      </c>
      <c r="G31" s="305" t="str">
        <f>$R$14 &amp; IF($O$14 = 0,"","+" &amp; $O$14 &amp; "d" &amp; $Q$14)</f>
        <v>24+4d6</v>
      </c>
      <c r="H31" s="120"/>
      <c r="I31" s="120"/>
      <c r="J31" s="120"/>
      <c r="K31" s="120"/>
    </row>
    <row r="32" spans="1:11" ht="8.25" customHeight="1">
      <c r="A32" s="472"/>
      <c r="B32" s="472"/>
      <c r="C32" s="472"/>
      <c r="D32" s="472"/>
      <c r="E32" s="472"/>
      <c r="F32" s="472"/>
      <c r="G32" s="472"/>
    </row>
    <row r="33" spans="1:11" ht="17.25" customHeight="1">
      <c r="A33" s="457" t="s">
        <v>676</v>
      </c>
      <c r="B33" s="457"/>
      <c r="C33" s="457"/>
      <c r="D33" s="457"/>
      <c r="E33" s="457"/>
      <c r="F33" s="457"/>
      <c r="G33" s="457"/>
      <c r="H33" s="120"/>
      <c r="I33" s="120"/>
      <c r="J33" s="120"/>
      <c r="K33" s="120"/>
    </row>
    <row r="34" spans="1:11" ht="13.5" customHeight="1">
      <c r="A34" s="458" t="s">
        <v>677</v>
      </c>
      <c r="B34" s="458"/>
      <c r="C34" s="458"/>
      <c r="D34" s="458"/>
      <c r="E34" s="458"/>
      <c r="F34" s="458"/>
      <c r="G34" s="458"/>
    </row>
    <row r="35" spans="1:11" ht="18.75" customHeight="1">
      <c r="A35" s="457" t="s">
        <v>263</v>
      </c>
      <c r="B35" s="457"/>
      <c r="C35" s="457"/>
      <c r="D35" s="457"/>
      <c r="E35" s="457"/>
      <c r="F35" s="457"/>
      <c r="G35" s="457"/>
      <c r="I35" s="120"/>
      <c r="J35" s="120"/>
      <c r="K35" s="120"/>
    </row>
    <row r="36" spans="1:11" ht="13.5" customHeight="1">
      <c r="A36" s="458" t="s">
        <v>264</v>
      </c>
      <c r="B36" s="458"/>
      <c r="C36" s="458"/>
      <c r="D36" s="458"/>
      <c r="E36" s="458"/>
      <c r="F36" s="458"/>
      <c r="G36" s="458"/>
    </row>
    <row r="37" spans="1:11" ht="13.5" customHeight="1">
      <c r="A37" s="458" t="s">
        <v>265</v>
      </c>
      <c r="B37" s="458"/>
      <c r="C37" s="458"/>
      <c r="D37" s="458"/>
      <c r="E37" s="458"/>
      <c r="F37" s="458"/>
      <c r="G37" s="458"/>
    </row>
    <row r="38" spans="1:11" ht="14.25">
      <c r="A38" s="457" t="s">
        <v>322</v>
      </c>
      <c r="B38" s="457"/>
      <c r="C38" s="457"/>
      <c r="D38" s="457"/>
      <c r="E38" s="457"/>
      <c r="F38" s="457"/>
      <c r="G38" s="457"/>
      <c r="I38" s="120"/>
      <c r="J38" s="120"/>
      <c r="K38" s="120"/>
    </row>
    <row r="39" spans="1:11" ht="13.5" customHeight="1">
      <c r="A39" s="490" t="s">
        <v>359</v>
      </c>
      <c r="B39" s="490"/>
      <c r="C39" s="490"/>
      <c r="D39" s="490"/>
      <c r="E39" s="490"/>
      <c r="F39" s="490"/>
      <c r="G39" s="490"/>
    </row>
    <row r="40" spans="1:11" ht="13.5" customHeight="1">
      <c r="A40" s="458" t="s">
        <v>323</v>
      </c>
      <c r="B40" s="458"/>
      <c r="C40" s="458"/>
      <c r="D40" s="458"/>
      <c r="E40" s="458"/>
      <c r="F40" s="458"/>
      <c r="G40" s="458"/>
    </row>
    <row r="41" spans="1:11" ht="14.25">
      <c r="A41" s="457" t="s">
        <v>325</v>
      </c>
      <c r="B41" s="457"/>
      <c r="C41" s="457"/>
      <c r="D41" s="457"/>
      <c r="E41" s="457"/>
      <c r="F41" s="457"/>
      <c r="G41" s="457"/>
      <c r="I41" s="120"/>
      <c r="J41" s="120"/>
      <c r="K41" s="120"/>
    </row>
    <row r="42" spans="1:11" ht="13.5" customHeight="1">
      <c r="A42" s="490" t="s">
        <v>326</v>
      </c>
      <c r="B42" s="490"/>
      <c r="C42" s="490"/>
      <c r="D42" s="490"/>
      <c r="E42" s="490"/>
      <c r="F42" s="490"/>
      <c r="G42" s="490"/>
    </row>
    <row r="43" spans="1:11" ht="13.5" customHeight="1">
      <c r="A43" s="458" t="s">
        <v>327</v>
      </c>
      <c r="B43" s="458"/>
      <c r="C43" s="458"/>
      <c r="D43" s="458"/>
      <c r="E43" s="458"/>
      <c r="F43" s="458"/>
      <c r="G43" s="458"/>
    </row>
    <row r="44" spans="1:11" ht="8.25" customHeight="1">
      <c r="A44" s="453"/>
      <c r="B44" s="453"/>
      <c r="C44" s="453"/>
      <c r="D44" s="453"/>
      <c r="E44" s="453"/>
      <c r="F44" s="453"/>
      <c r="G44" s="453"/>
    </row>
    <row r="45" spans="1:11" ht="13.5" customHeight="1">
      <c r="A45" s="531" t="s">
        <v>49</v>
      </c>
      <c r="B45" s="532"/>
      <c r="C45" s="532"/>
      <c r="D45" s="532"/>
      <c r="E45" s="532"/>
      <c r="F45" s="532"/>
      <c r="G45" s="533"/>
    </row>
    <row r="46" spans="1:11" s="100" customFormat="1" ht="3.75" customHeight="1">
      <c r="A46" s="505"/>
      <c r="B46" s="506"/>
      <c r="C46" s="506"/>
      <c r="D46" s="506"/>
      <c r="E46" s="506"/>
      <c r="F46" s="506"/>
      <c r="G46" s="507"/>
      <c r="H46" s="99"/>
      <c r="I46" s="99"/>
      <c r="J46" s="99"/>
      <c r="K46" s="99"/>
    </row>
    <row r="47" spans="1:11" s="100" customFormat="1" ht="13.5" customHeight="1">
      <c r="A47" s="505"/>
      <c r="B47" s="506"/>
      <c r="C47" s="506"/>
      <c r="D47" s="506"/>
      <c r="E47" s="506"/>
      <c r="F47" s="506"/>
      <c r="G47" s="507"/>
      <c r="H47" s="99"/>
      <c r="I47" s="99"/>
      <c r="J47" s="99"/>
      <c r="K47" s="99"/>
    </row>
    <row r="48" spans="1:11" s="100" customFormat="1" ht="13.5" customHeight="1">
      <c r="A48" s="505"/>
      <c r="B48" s="506"/>
      <c r="C48" s="506"/>
      <c r="D48" s="506"/>
      <c r="E48" s="506"/>
      <c r="F48" s="506"/>
      <c r="G48" s="507"/>
      <c r="H48" s="99"/>
      <c r="I48" s="99"/>
      <c r="J48" s="99"/>
      <c r="K48" s="99"/>
    </row>
    <row r="49" spans="1:12" s="100" customFormat="1" ht="13.5" customHeight="1">
      <c r="A49" s="505"/>
      <c r="B49" s="506"/>
      <c r="C49" s="506"/>
      <c r="D49" s="506"/>
      <c r="E49" s="506"/>
      <c r="F49" s="506"/>
      <c r="G49" s="507"/>
      <c r="H49" s="99"/>
      <c r="I49" s="99"/>
      <c r="J49" s="99"/>
      <c r="K49" s="99"/>
    </row>
    <row r="50" spans="1:12" s="100" customFormat="1" ht="13.5" customHeight="1">
      <c r="A50" s="505"/>
      <c r="B50" s="506"/>
      <c r="C50" s="506"/>
      <c r="D50" s="506"/>
      <c r="E50" s="506"/>
      <c r="F50" s="506"/>
      <c r="G50" s="507"/>
      <c r="H50" s="99"/>
      <c r="I50" s="99"/>
      <c r="J50" s="99"/>
      <c r="K50" s="99"/>
    </row>
    <row r="51" spans="1:12" s="100" customFormat="1" ht="13.5" customHeight="1">
      <c r="A51" s="505"/>
      <c r="B51" s="506"/>
      <c r="C51" s="506"/>
      <c r="D51" s="506"/>
      <c r="E51" s="506"/>
      <c r="F51" s="506"/>
      <c r="G51" s="507"/>
      <c r="H51" s="99"/>
      <c r="I51" s="99"/>
      <c r="J51" s="99"/>
      <c r="K51" s="99"/>
    </row>
    <row r="52" spans="1:12" s="100" customFormat="1" ht="13.5" customHeight="1">
      <c r="A52" s="505"/>
      <c r="B52" s="506"/>
      <c r="C52" s="506"/>
      <c r="D52" s="506"/>
      <c r="E52" s="506"/>
      <c r="F52" s="506"/>
      <c r="G52" s="507"/>
      <c r="H52" s="99"/>
      <c r="I52" s="99"/>
      <c r="J52" s="99"/>
      <c r="K52" s="99"/>
    </row>
    <row r="53" spans="1:12" s="100" customFormat="1" ht="13.5" customHeight="1">
      <c r="A53" s="505"/>
      <c r="B53" s="506"/>
      <c r="C53" s="506"/>
      <c r="D53" s="506"/>
      <c r="E53" s="506"/>
      <c r="F53" s="506"/>
      <c r="G53" s="507"/>
      <c r="H53" s="99"/>
      <c r="I53" s="99"/>
      <c r="J53" s="99"/>
      <c r="K53" s="99"/>
    </row>
    <row r="54" spans="1:12" s="100" customFormat="1" ht="13.5" customHeight="1">
      <c r="A54" s="505"/>
      <c r="B54" s="506"/>
      <c r="C54" s="506"/>
      <c r="D54" s="506"/>
      <c r="E54" s="506"/>
      <c r="F54" s="506"/>
      <c r="G54" s="507"/>
      <c r="H54" s="99"/>
      <c r="I54" s="99"/>
      <c r="J54" s="99"/>
      <c r="K54" s="99"/>
    </row>
    <row r="55" spans="1:12" s="79" customFormat="1" ht="21">
      <c r="A55" s="108" t="s">
        <v>121</v>
      </c>
      <c r="B55" s="184">
        <f>$B$1</f>
        <v>20</v>
      </c>
      <c r="C55" s="110" t="s">
        <v>40</v>
      </c>
      <c r="D55" s="111" t="str">
        <f>$E$1</f>
        <v>一日毎</v>
      </c>
      <c r="E55" s="594" t="str">
        <f>$B$2</f>
        <v>フォーム・オヴ・ザ・リーピング・スタッグ</v>
      </c>
      <c r="F55" s="595"/>
      <c r="G55" s="596"/>
      <c r="L55" s="120"/>
    </row>
  </sheetData>
  <mergeCells count="59">
    <mergeCell ref="N4:S4"/>
    <mergeCell ref="P9:Q9"/>
    <mergeCell ref="P11:Q11"/>
    <mergeCell ref="A24:C25"/>
    <mergeCell ref="D24:E24"/>
    <mergeCell ref="F24:G24"/>
    <mergeCell ref="B21:G21"/>
    <mergeCell ref="B11:G11"/>
    <mergeCell ref="J11:K11"/>
    <mergeCell ref="B12:G12"/>
    <mergeCell ref="B13:G13"/>
    <mergeCell ref="B14:G14"/>
    <mergeCell ref="B15:D15"/>
    <mergeCell ref="B16:G16"/>
    <mergeCell ref="B17:G17"/>
    <mergeCell ref="B18:G18"/>
    <mergeCell ref="E55:G55"/>
    <mergeCell ref="A53:G53"/>
    <mergeCell ref="A54:G54"/>
    <mergeCell ref="A52:G52"/>
    <mergeCell ref="A42:G42"/>
    <mergeCell ref="A43:G43"/>
    <mergeCell ref="A44:G44"/>
    <mergeCell ref="A45:G45"/>
    <mergeCell ref="A51:G51"/>
    <mergeCell ref="A46:G46"/>
    <mergeCell ref="A47:G47"/>
    <mergeCell ref="A48:G48"/>
    <mergeCell ref="A49:G49"/>
    <mergeCell ref="A50:G50"/>
    <mergeCell ref="A41:G41"/>
    <mergeCell ref="B22:G22"/>
    <mergeCell ref="A32:G32"/>
    <mergeCell ref="A38:G38"/>
    <mergeCell ref="A39:G39"/>
    <mergeCell ref="A40:G40"/>
    <mergeCell ref="A35:G35"/>
    <mergeCell ref="A36:G36"/>
    <mergeCell ref="A37:G37"/>
    <mergeCell ref="A26:A27"/>
    <mergeCell ref="C26:C27"/>
    <mergeCell ref="A28:A29"/>
    <mergeCell ref="A30:A31"/>
    <mergeCell ref="A33:G33"/>
    <mergeCell ref="A34:G34"/>
    <mergeCell ref="B1:C1"/>
    <mergeCell ref="F1:G1"/>
    <mergeCell ref="B2:G2"/>
    <mergeCell ref="B4:G4"/>
    <mergeCell ref="B6:D6"/>
    <mergeCell ref="J9:K9"/>
    <mergeCell ref="H4:M4"/>
    <mergeCell ref="B19:G19"/>
    <mergeCell ref="B20:G20"/>
    <mergeCell ref="B5:G5"/>
    <mergeCell ref="B10:G10"/>
    <mergeCell ref="B7:D7"/>
    <mergeCell ref="B8:G8"/>
    <mergeCell ref="B9:G9"/>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基本!$D$27:$D$31</xm:f>
          </x14:formula1>
          <xm:sqref>I7</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基本!$A$16:$A$19</xm:f>
          </x14:formula1>
          <xm:sqref>K8</xm:sqref>
        </x14:dataValidation>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基本!$C$27:$C$37</xm:f>
          </x14:formula1>
          <xm:sqref>I15</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61D02"/>
  </sheetPr>
  <dimension ref="A1:M56"/>
  <sheetViews>
    <sheetView zoomScaleNormal="100" workbookViewId="0">
      <selection activeCell="B2" sqref="B2:G2"/>
    </sheetView>
  </sheetViews>
  <sheetFormatPr defaultRowHeight="13.5"/>
  <cols>
    <col min="1" max="1" width="7.875" style="120" customWidth="1"/>
    <col min="2" max="2" width="8.5" style="120" customWidth="1"/>
    <col min="3" max="3" width="6.625" style="120" customWidth="1"/>
    <col min="4" max="4" width="15.75" style="120" customWidth="1"/>
    <col min="5" max="6" width="15.75" style="79" customWidth="1"/>
    <col min="7" max="7" width="18.25" style="79" customWidth="1"/>
    <col min="8" max="8" width="17.375" style="79" customWidth="1"/>
    <col min="9" max="9" width="14.625" style="79" customWidth="1"/>
    <col min="10" max="10" width="8.375" style="79" customWidth="1"/>
    <col min="11" max="11" width="7.5" style="79" customWidth="1"/>
    <col min="12" max="12" width="7.875" style="120" customWidth="1"/>
    <col min="13" max="13" width="9.25" style="120" customWidth="1"/>
    <col min="14" max="14" width="12.375" style="120" customWidth="1"/>
    <col min="15" max="16384" width="9" style="120"/>
  </cols>
  <sheetData>
    <row r="1" spans="1:13" ht="21">
      <c r="A1" s="39" t="s">
        <v>118</v>
      </c>
      <c r="B1" s="573">
        <v>1</v>
      </c>
      <c r="C1" s="574"/>
      <c r="D1" s="40" t="s">
        <v>40</v>
      </c>
      <c r="E1" s="41" t="s">
        <v>115</v>
      </c>
      <c r="F1" s="575"/>
      <c r="G1" s="576"/>
      <c r="H1" s="84" t="s">
        <v>55</v>
      </c>
    </row>
    <row r="2" spans="1:13" ht="24.75" customHeight="1">
      <c r="A2" s="40" t="s">
        <v>0</v>
      </c>
      <c r="B2" s="577" t="s">
        <v>402</v>
      </c>
      <c r="C2" s="577"/>
      <c r="D2" s="577"/>
      <c r="E2" s="577"/>
      <c r="F2" s="577"/>
      <c r="G2" s="577"/>
      <c r="H2" s="84" t="s">
        <v>56</v>
      </c>
    </row>
    <row r="3" spans="1:13" ht="19.5" customHeight="1">
      <c r="A3" s="90" t="s">
        <v>48</v>
      </c>
      <c r="B3" s="79"/>
      <c r="C3" s="79"/>
      <c r="D3" s="79"/>
      <c r="I3" s="84"/>
    </row>
    <row r="4" spans="1:13">
      <c r="A4" s="67" t="s">
        <v>46</v>
      </c>
      <c r="B4" s="480" t="s">
        <v>141</v>
      </c>
      <c r="C4" s="481"/>
      <c r="D4" s="481"/>
      <c r="E4" s="481"/>
      <c r="F4" s="481"/>
      <c r="G4" s="482"/>
      <c r="H4" s="394" t="s">
        <v>317</v>
      </c>
      <c r="I4" s="395"/>
      <c r="J4" s="395"/>
      <c r="K4" s="395"/>
      <c r="L4" s="396"/>
    </row>
    <row r="5" spans="1:13">
      <c r="A5" s="68" t="s">
        <v>39</v>
      </c>
      <c r="B5" s="480" t="s">
        <v>174</v>
      </c>
      <c r="C5" s="481"/>
      <c r="D5" s="481"/>
      <c r="E5" s="481"/>
      <c r="F5" s="481"/>
      <c r="G5" s="482"/>
      <c r="H5" s="123" t="s">
        <v>43</v>
      </c>
      <c r="I5" s="124" t="s">
        <v>69</v>
      </c>
      <c r="J5" s="124" t="s">
        <v>137</v>
      </c>
    </row>
    <row r="6" spans="1:13">
      <c r="A6" s="68" t="s">
        <v>7</v>
      </c>
      <c r="B6" s="480" t="s">
        <v>5</v>
      </c>
      <c r="C6" s="481"/>
      <c r="D6" s="482"/>
      <c r="E6" s="123" t="s">
        <v>43</v>
      </c>
      <c r="F6" s="122" t="str">
        <f>$I$5</f>
        <v>近接</v>
      </c>
      <c r="G6" s="122" t="str">
        <f>IF($J$5 = 0,"", $J$5)</f>
        <v>武器</v>
      </c>
      <c r="H6" s="123" t="s">
        <v>66</v>
      </c>
      <c r="I6" s="124"/>
      <c r="J6" s="124"/>
    </row>
    <row r="7" spans="1:13">
      <c r="A7" s="69" t="s">
        <v>6</v>
      </c>
      <c r="B7" s="480" t="s">
        <v>91</v>
      </c>
      <c r="C7" s="481"/>
      <c r="D7" s="482"/>
      <c r="E7" s="123" t="s">
        <v>66</v>
      </c>
      <c r="F7" s="122" t="str">
        <f>IF($I$6 = 0,"", $I$6)</f>
        <v/>
      </c>
      <c r="G7" s="122" t="str">
        <f>IF($J$6 = 0,"", $J$6)</f>
        <v/>
      </c>
      <c r="H7" s="123" t="s">
        <v>85</v>
      </c>
      <c r="I7" s="124" t="s">
        <v>116</v>
      </c>
      <c r="J7" s="84" t="s">
        <v>62</v>
      </c>
      <c r="L7" s="176" t="s">
        <v>318</v>
      </c>
    </row>
    <row r="8" spans="1:13">
      <c r="A8" s="69" t="s">
        <v>8</v>
      </c>
      <c r="B8" s="534" t="s">
        <v>275</v>
      </c>
      <c r="C8" s="535"/>
      <c r="D8" s="535"/>
      <c r="E8" s="535"/>
      <c r="F8" s="535"/>
      <c r="G8" s="536"/>
      <c r="H8" s="123" t="s">
        <v>51</v>
      </c>
      <c r="I8" s="124" t="s">
        <v>139</v>
      </c>
      <c r="J8" s="122">
        <f>IF($I$8 = "筋力",基本!$C$5,IF($I$8 = "耐久力",基本!$C$6,IF($I$8 = "敏捷力",基本!$C$7,IF($I$8 = "知力",基本!$C$8,IF($I$8 = "判断力",基本!$C$9,IF($I$8 = "筋力",基本!$C$10,""))))))</f>
        <v>6</v>
      </c>
      <c r="K8" s="124" t="s">
        <v>119</v>
      </c>
      <c r="L8" s="177">
        <f>$J$8+$L$9+$I$9</f>
        <v>22</v>
      </c>
    </row>
    <row r="9" spans="1:13" ht="14.25" customHeight="1">
      <c r="A9" s="71" t="s">
        <v>9</v>
      </c>
      <c r="B9" s="474" t="s">
        <v>271</v>
      </c>
      <c r="C9" s="475"/>
      <c r="D9" s="475"/>
      <c r="E9" s="475"/>
      <c r="F9" s="475"/>
      <c r="G9" s="476"/>
      <c r="H9" s="123" t="s">
        <v>58</v>
      </c>
      <c r="I9" s="124">
        <v>0</v>
      </c>
      <c r="J9" s="394" t="s">
        <v>53</v>
      </c>
      <c r="K9" s="396"/>
      <c r="L9" s="122">
        <f>IF($I$7=基本!$F$4,基本!$P$7,IF($I$7=基本!$F$13,基本!$P$16,IF($I$7=基本!$F$22,基本!$P$25,IF($I$7=基本!$F$31,基本!$P$34,IF($I$7=基本!$F$40,基本!$P$43,0)))))</f>
        <v>16</v>
      </c>
    </row>
    <row r="10" spans="1:13" ht="14.25" customHeight="1">
      <c r="A10" s="71"/>
      <c r="B10" s="505" t="s">
        <v>142</v>
      </c>
      <c r="C10" s="506"/>
      <c r="D10" s="506"/>
      <c r="E10" s="506"/>
      <c r="F10" s="506"/>
      <c r="G10" s="507"/>
      <c r="H10" s="125" t="s">
        <v>52</v>
      </c>
      <c r="I10" s="124" t="s">
        <v>139</v>
      </c>
      <c r="J10" s="88">
        <f>IF($I$10 = "筋力",基本!$C$5,IF($I$10 = "耐久力",基本!$C$6,IF($I$10 = "敏捷力",基本!$C$7,IF($I$10 = "知力",基本!$C$8,IF($I$10 = "判断力",基本!$C$9,IF($I$10 = "筋力",基本!$C$10,""))))))</f>
        <v>6</v>
      </c>
      <c r="L10" s="79"/>
    </row>
    <row r="11" spans="1:13" ht="14.25" customHeight="1">
      <c r="A11" s="70" t="s">
        <v>143</v>
      </c>
      <c r="B11" s="474" t="s">
        <v>144</v>
      </c>
      <c r="C11" s="475"/>
      <c r="D11" s="475"/>
      <c r="E11" s="475"/>
      <c r="F11" s="475"/>
      <c r="G11" s="476"/>
      <c r="H11" s="123" t="s">
        <v>59</v>
      </c>
      <c r="I11" s="124">
        <f>L15</f>
        <v>6</v>
      </c>
      <c r="J11" s="394" t="s">
        <v>54</v>
      </c>
      <c r="K11" s="396"/>
      <c r="L11" s="122">
        <f>IF($I$7=基本!$F$4,基本!$P$9,IF($I$7=基本!$F$13,基本!$P$18,IF($I$7=基本!$F$22,基本!$P$27,IF($I$7=基本!$F$31,基本!$P$36,IF($I$7=基本!$F$40,基本!$P$45,0)))))</f>
        <v>6</v>
      </c>
    </row>
    <row r="12" spans="1:13" ht="7.5" customHeight="1">
      <c r="A12" s="71"/>
      <c r="B12" s="505"/>
      <c r="C12" s="506"/>
      <c r="D12" s="506"/>
      <c r="E12" s="506"/>
      <c r="F12" s="506"/>
      <c r="G12" s="507"/>
      <c r="H12" s="166" t="s">
        <v>319</v>
      </c>
      <c r="I12" s="170">
        <v>1</v>
      </c>
      <c r="J12" s="120"/>
      <c r="K12" s="120"/>
      <c r="L12" s="176" t="s">
        <v>318</v>
      </c>
    </row>
    <row r="13" spans="1:13" ht="7.5" customHeight="1">
      <c r="A13" s="71"/>
      <c r="B13" s="483"/>
      <c r="C13" s="472"/>
      <c r="D13" s="472"/>
      <c r="E13" s="472"/>
      <c r="F13" s="472"/>
      <c r="G13" s="484"/>
      <c r="H13" s="126" t="s">
        <v>86</v>
      </c>
      <c r="I13" s="32">
        <f>IF($I$7=基本!$F$4,基本!$F$9,IF($I$7=基本!$F$13,基本!$F$18,IF($I$7=基本!$F$22,基本!$F$27,IF($I$7=基本!$F$31,基本!$F$36,IF($I$7=基本!$F$40,基本!$F$45,0)))))*$I$12</f>
        <v>1</v>
      </c>
      <c r="J13" s="180" t="s">
        <v>320</v>
      </c>
      <c r="K13" s="32">
        <f>IF($I$7=基本!$F$4,基本!$H$9,IF($I$7=基本!$F$13,基本!$H$18,IF($I$7=基本!$F$22,基本!$H$27,IF($I$7=基本!$F$31,基本!$H$36,IF($I$7=基本!$F$40,基本!$H$45,0)))))</f>
        <v>10</v>
      </c>
      <c r="L13" s="177">
        <f>$J$10+$L$11+$I$11</f>
        <v>18</v>
      </c>
      <c r="M13" s="91"/>
    </row>
    <row r="14" spans="1:13" ht="7.5" customHeight="1">
      <c r="A14" s="92"/>
      <c r="B14" s="537"/>
      <c r="C14" s="538"/>
      <c r="D14" s="538"/>
      <c r="E14" s="538"/>
      <c r="F14" s="538"/>
      <c r="G14" s="539"/>
      <c r="H14" s="123" t="s">
        <v>50</v>
      </c>
      <c r="I14" s="32">
        <f>IF($I$7=基本!$F$4,基本!$L$11,IF($I$7=基本!$F$13,基本!$L$20,IF($I$7=基本!$F$22,基本!$L$29,IF($I$7=基本!$F$31,基本!$L$38,IF($I$7=基本!$F$40,基本!$L$47,0)))))</f>
        <v>4</v>
      </c>
      <c r="J14" s="180" t="s">
        <v>320</v>
      </c>
      <c r="K14" s="32">
        <f>IF($I$7=基本!$F$4,基本!$N$11,IF($I$7=基本!$F$13,基本!$N$20,IF($I$7=基本!$F$22,基本!$N$29,IF($I$7=基本!$F$31,基本!$N$38,IF($I$7=基本!$F$40,基本!$N$47,0)))))</f>
        <v>8</v>
      </c>
      <c r="L14" s="177">
        <f>$J$10+$L$11+$I$11+($I$13*$K$13)</f>
        <v>28</v>
      </c>
      <c r="M14" s="91"/>
    </row>
    <row r="15" spans="1:13" ht="7.5" customHeight="1">
      <c r="A15" s="71"/>
      <c r="B15" s="505"/>
      <c r="C15" s="506"/>
      <c r="D15" s="506"/>
      <c r="E15" s="506"/>
      <c r="F15" s="506"/>
      <c r="G15" s="507"/>
      <c r="H15" s="123" t="s">
        <v>60</v>
      </c>
      <c r="I15" s="124"/>
      <c r="J15" s="168" t="s">
        <v>315</v>
      </c>
      <c r="K15" s="170" t="s">
        <v>16</v>
      </c>
      <c r="L15" s="178">
        <f>IF($K$15 = "筋力",基本!$C$5,IF($K$15 = "耐久力",基本!$C$6,IF($K$15 = "敏捷力",基本!$C$7,IF($K$15 = "知力",基本!$C$8,IF($K$15 = "判断力",基本!$C$9,IF($K$15 = "魅力",基本!$C$10,""))))))</f>
        <v>6</v>
      </c>
    </row>
    <row r="16" spans="1:13" ht="8.25" customHeight="1">
      <c r="A16" s="72"/>
      <c r="B16" s="452"/>
      <c r="C16" s="453"/>
      <c r="D16" s="453"/>
      <c r="E16" s="453"/>
      <c r="F16" s="453"/>
      <c r="G16" s="454"/>
      <c r="H16" s="175" t="s">
        <v>316</v>
      </c>
      <c r="I16" s="135">
        <v>12</v>
      </c>
      <c r="J16" s="120"/>
      <c r="K16" s="120"/>
    </row>
    <row r="17" spans="1:11" ht="14.25" thickBot="1">
      <c r="A17" s="113" t="s">
        <v>47</v>
      </c>
      <c r="E17" s="80"/>
      <c r="H17" s="120"/>
      <c r="I17" s="120"/>
      <c r="J17" s="120"/>
      <c r="K17" s="120"/>
    </row>
    <row r="18" spans="1:11" ht="15" customHeight="1">
      <c r="A18" s="558" t="str">
        <f>$B$2</f>
        <v>ワイルドブラッド・フレンジー</v>
      </c>
      <c r="B18" s="559"/>
      <c r="C18" s="560"/>
      <c r="D18" s="550" t="s">
        <v>2</v>
      </c>
      <c r="E18" s="551"/>
      <c r="F18" s="663" t="s">
        <v>410</v>
      </c>
      <c r="G18" s="664"/>
      <c r="H18" s="120"/>
      <c r="I18" s="120"/>
      <c r="J18" s="120"/>
      <c r="K18" s="120"/>
    </row>
    <row r="19" spans="1:11" ht="18.75" customHeight="1" thickBot="1">
      <c r="A19" s="561"/>
      <c r="B19" s="562"/>
      <c r="C19" s="563"/>
      <c r="D19" s="190" t="s">
        <v>2</v>
      </c>
      <c r="E19" s="191" t="s">
        <v>1</v>
      </c>
      <c r="F19" s="197" t="s">
        <v>2</v>
      </c>
      <c r="G19" s="192" t="s">
        <v>1</v>
      </c>
      <c r="H19" s="120"/>
      <c r="I19" s="120"/>
      <c r="J19" s="120"/>
      <c r="K19" s="120"/>
    </row>
    <row r="20" spans="1:11" ht="37.5" customHeight="1" thickBot="1">
      <c r="A20" s="665" t="s">
        <v>126</v>
      </c>
      <c r="B20" s="666"/>
      <c r="C20" s="93" t="str">
        <f>$K$8</f>
        <v>ＡＣ</v>
      </c>
      <c r="D20" s="94" t="str">
        <f>$L$8 &amp; "+1d20"</f>
        <v>22+1d20</v>
      </c>
      <c r="E20" s="193" t="str">
        <f>$L$8+2 &amp; "+1d20"</f>
        <v>24+1d20</v>
      </c>
      <c r="F20" s="207" t="str">
        <f>3+$L$8 &amp; "+1d20"</f>
        <v>25+1d20</v>
      </c>
      <c r="G20" s="208" t="str">
        <f>3+$L$8+2 &amp; "+1d20"</f>
        <v>27+1d20</v>
      </c>
      <c r="H20" s="120"/>
      <c r="I20" s="120"/>
      <c r="J20" s="120"/>
      <c r="K20" s="120"/>
    </row>
    <row r="21" spans="1:11" ht="21" customHeight="1">
      <c r="A21" s="470" t="s">
        <v>360</v>
      </c>
      <c r="B21" s="137" t="s">
        <v>4</v>
      </c>
      <c r="C21" s="138" t="str">
        <f t="shared" ref="C21:C26" si="0">IF($I$15 = 0,"", $I$15)</f>
        <v/>
      </c>
      <c r="D21" s="56" t="str">
        <f>-2+$L$13 &amp; "+" &amp; $I$13 &amp; "d" &amp; $K$13</f>
        <v>16+1d10</v>
      </c>
      <c r="E21" s="194" t="str">
        <f>-2+$L$13 &amp; "+" &amp; $I$13 &amp; "d" &amp; $K$13</f>
        <v>16+1d10</v>
      </c>
      <c r="F21" s="56" t="str">
        <f>-2+$L$13 &amp; "+" &amp; $I$13 &amp; "d" &amp; $K$13</f>
        <v>16+1d10</v>
      </c>
      <c r="G21" s="57" t="str">
        <f>-2+$L$13 &amp; "+" &amp; $I$13 &amp; "d" &amp; $K$13</f>
        <v>16+1d10</v>
      </c>
      <c r="H21" s="120"/>
      <c r="I21" s="120"/>
      <c r="J21" s="120"/>
      <c r="K21" s="120"/>
    </row>
    <row r="22" spans="1:11" ht="21" customHeight="1">
      <c r="A22" s="471"/>
      <c r="B22" s="148" t="s">
        <v>3</v>
      </c>
      <c r="C22" s="149" t="str">
        <f t="shared" si="0"/>
        <v/>
      </c>
      <c r="D22" s="150" t="str">
        <f>-2+$L$14 &amp; IF($I$14 =0,"","+" &amp; $I$14 &amp; "d" &amp; $K$14)</f>
        <v>26+4d8</v>
      </c>
      <c r="E22" s="195" t="str">
        <f>-2+$L$14 &amp; IF($I$14 =0,"","+" &amp; $I$14 &amp; "d" &amp; $K$14)</f>
        <v>26+4d8</v>
      </c>
      <c r="F22" s="150" t="str">
        <f>-2+$L$14 &amp; IF($I$14 =0,"","+" &amp; $I$14 &amp; "d" &amp; $K$14)</f>
        <v>26+4d8</v>
      </c>
      <c r="G22" s="151" t="str">
        <f>-2+$L$14 &amp; IF($I$14 =0,"","+" &amp; $I$14 &amp; "d" &amp; $K$14)</f>
        <v>26+4d8</v>
      </c>
      <c r="H22" s="120"/>
      <c r="I22" s="120"/>
      <c r="J22" s="120"/>
      <c r="K22" s="120"/>
    </row>
    <row r="23" spans="1:11" ht="21" customHeight="1" thickBot="1">
      <c r="A23" s="667" t="s">
        <v>206</v>
      </c>
      <c r="B23" s="668"/>
      <c r="C23" s="145" t="str">
        <f t="shared" si="0"/>
        <v/>
      </c>
      <c r="D23" s="146" t="str">
        <f>-2+$L$14 &amp; IF($I$14 =0,"","+" &amp; $I$14 &amp; "d" &amp; $I$16)</f>
        <v>26+4d12</v>
      </c>
      <c r="E23" s="196" t="str">
        <f>-2+$L$14 &amp; IF($I$14 =0,"","+" &amp; $I$14 &amp; "d" &amp; $I$16)</f>
        <v>26+4d12</v>
      </c>
      <c r="F23" s="146" t="str">
        <f>-2+$L$14 &amp; IF($I$14 =0,"","+" &amp; $I$14 &amp; "d" &amp; $I$16)</f>
        <v>26+4d12</v>
      </c>
      <c r="G23" s="147" t="str">
        <f>-2+$L$14 &amp; IF($I$14 =0,"","+" &amp; $I$14 &amp; "d" &amp; $I$16)</f>
        <v>26+4d12</v>
      </c>
      <c r="H23" s="120"/>
      <c r="I23" s="120"/>
      <c r="J23" s="120"/>
      <c r="K23" s="120"/>
    </row>
    <row r="24" spans="1:11" ht="21" customHeight="1">
      <c r="A24" s="455" t="s">
        <v>136</v>
      </c>
      <c r="B24" s="137" t="s">
        <v>4</v>
      </c>
      <c r="C24" s="138" t="str">
        <f t="shared" si="0"/>
        <v/>
      </c>
      <c r="D24" s="56" t="str">
        <f>$L$13 &amp; "+" &amp; $I$13 &amp; "d" &amp; $K$13</f>
        <v>18+1d10</v>
      </c>
      <c r="E24" s="194" t="str">
        <f>$L$13 &amp; "+" &amp; $I$13 &amp; "d" &amp; $K$13</f>
        <v>18+1d10</v>
      </c>
      <c r="F24" s="56" t="str">
        <f>$L$13 &amp; "+" &amp; $I$13 &amp; "d" &amp; $K$13</f>
        <v>18+1d10</v>
      </c>
      <c r="G24" s="57" t="str">
        <f>$L$13 &amp; "+" &amp; $I$13 &amp; "d" &amp; $K$13</f>
        <v>18+1d10</v>
      </c>
      <c r="H24" s="120"/>
      <c r="I24" s="120"/>
      <c r="J24" s="120"/>
      <c r="K24" s="120"/>
    </row>
    <row r="25" spans="1:11" ht="21" customHeight="1">
      <c r="A25" s="557"/>
      <c r="B25" s="148" t="s">
        <v>3</v>
      </c>
      <c r="C25" s="149" t="str">
        <f t="shared" si="0"/>
        <v/>
      </c>
      <c r="D25" s="150" t="str">
        <f>$L$14 &amp; IF($I$14 = 0,"","+" &amp; $I$14 &amp; "d" &amp; $K$14)</f>
        <v>28+4d8</v>
      </c>
      <c r="E25" s="195" t="str">
        <f>$L$14 &amp; IF($I$14 = 0,"","+" &amp; $I$14 &amp; "d" &amp; $K$14)</f>
        <v>28+4d8</v>
      </c>
      <c r="F25" s="150" t="str">
        <f>$L$14 &amp; IF($I$14 = 0,"","+" &amp; $I$14 &amp; "d" &amp; $K$14)</f>
        <v>28+4d8</v>
      </c>
      <c r="G25" s="151" t="str">
        <f>$L$14 &amp; IF($I$14 = 0,"","+" &amp; $I$14 &amp; "d" &amp; $K$14)</f>
        <v>28+4d8</v>
      </c>
      <c r="H25" s="120"/>
      <c r="I25" s="120"/>
      <c r="J25" s="120"/>
      <c r="K25" s="120"/>
    </row>
    <row r="26" spans="1:11" ht="21" customHeight="1" thickBot="1">
      <c r="A26" s="669" t="s">
        <v>206</v>
      </c>
      <c r="B26" s="668"/>
      <c r="C26" s="145" t="str">
        <f t="shared" si="0"/>
        <v/>
      </c>
      <c r="D26" s="146" t="str">
        <f>$L$14 &amp; IF($I$14 = 0,"","+" &amp; $I$14 &amp; "d" &amp; $I$16)</f>
        <v>28+4d12</v>
      </c>
      <c r="E26" s="196" t="str">
        <f>$L$14 &amp; IF($I$14 = 0,"","+" &amp; $I$14 &amp; "d" &amp; $I$16)</f>
        <v>28+4d12</v>
      </c>
      <c r="F26" s="146" t="str">
        <f>$L$14 &amp; IF($I$14 = 0,"","+" &amp; $I$14 &amp; "d" &amp; $I$16)</f>
        <v>28+4d12</v>
      </c>
      <c r="G26" s="147" t="str">
        <f>$L$14 &amp; IF($I$14 = 0,"","+" &amp; $I$14 &amp; "d" &amp; $I$16)</f>
        <v>28+4d12</v>
      </c>
      <c r="H26" s="120"/>
      <c r="I26" s="120"/>
      <c r="J26" s="120"/>
      <c r="K26" s="120"/>
    </row>
    <row r="27" spans="1:11" ht="8.25" customHeight="1">
      <c r="A27" s="472"/>
      <c r="B27" s="472"/>
      <c r="C27" s="472"/>
      <c r="D27" s="472"/>
      <c r="E27" s="472"/>
      <c r="F27" s="472"/>
      <c r="G27" s="472"/>
    </row>
    <row r="28" spans="1:11" ht="14.25">
      <c r="A28" s="457" t="s">
        <v>497</v>
      </c>
      <c r="B28" s="457"/>
      <c r="C28" s="457"/>
      <c r="D28" s="457"/>
      <c r="E28" s="457"/>
      <c r="F28" s="457"/>
      <c r="G28" s="457"/>
      <c r="I28" s="120"/>
      <c r="J28" s="120"/>
      <c r="K28" s="120"/>
    </row>
    <row r="29" spans="1:11" ht="13.5" customHeight="1">
      <c r="A29" s="458" t="s">
        <v>412</v>
      </c>
      <c r="B29" s="458"/>
      <c r="C29" s="458"/>
      <c r="D29" s="458"/>
      <c r="E29" s="458"/>
      <c r="F29" s="458"/>
      <c r="G29" s="458"/>
    </row>
    <row r="30" spans="1:11" ht="13.5" customHeight="1">
      <c r="A30" s="458" t="s">
        <v>413</v>
      </c>
      <c r="B30" s="458"/>
      <c r="C30" s="458"/>
      <c r="D30" s="458"/>
      <c r="E30" s="458"/>
      <c r="F30" s="458"/>
      <c r="G30" s="458"/>
    </row>
    <row r="31" spans="1:11" ht="13.5" customHeight="1">
      <c r="A31" s="473" t="s">
        <v>499</v>
      </c>
      <c r="B31" s="458"/>
      <c r="C31" s="458"/>
      <c r="D31" s="458"/>
      <c r="E31" s="458"/>
      <c r="F31" s="458"/>
      <c r="G31" s="458"/>
    </row>
    <row r="32" spans="1:11" ht="13.5" customHeight="1">
      <c r="A32" s="473" t="s">
        <v>500</v>
      </c>
      <c r="B32" s="458"/>
      <c r="C32" s="458"/>
      <c r="D32" s="458"/>
      <c r="E32" s="458"/>
      <c r="F32" s="458"/>
      <c r="G32" s="458"/>
    </row>
    <row r="33" spans="1:12" ht="14.25">
      <c r="A33" s="457" t="s">
        <v>322</v>
      </c>
      <c r="B33" s="457"/>
      <c r="C33" s="457"/>
      <c r="D33" s="457"/>
      <c r="E33" s="457"/>
      <c r="F33" s="457"/>
      <c r="G33" s="457"/>
      <c r="I33" s="120"/>
      <c r="J33" s="120"/>
      <c r="K33" s="120"/>
    </row>
    <row r="34" spans="1:12" ht="13.5" customHeight="1">
      <c r="A34" s="490" t="s">
        <v>359</v>
      </c>
      <c r="B34" s="490"/>
      <c r="C34" s="490"/>
      <c r="D34" s="490"/>
      <c r="E34" s="490"/>
      <c r="F34" s="490"/>
      <c r="G34" s="490"/>
    </row>
    <row r="35" spans="1:12" ht="13.5" customHeight="1">
      <c r="A35" s="458" t="s">
        <v>323</v>
      </c>
      <c r="B35" s="458"/>
      <c r="C35" s="458"/>
      <c r="D35" s="458"/>
      <c r="E35" s="458"/>
      <c r="F35" s="458"/>
      <c r="G35" s="458"/>
    </row>
    <row r="36" spans="1:12" ht="8.25" customHeight="1">
      <c r="A36" s="453"/>
      <c r="B36" s="453"/>
      <c r="C36" s="453"/>
      <c r="D36" s="453"/>
      <c r="E36" s="453"/>
      <c r="F36" s="453"/>
      <c r="G36" s="453"/>
    </row>
    <row r="37" spans="1:12">
      <c r="A37" s="531" t="s">
        <v>49</v>
      </c>
      <c r="B37" s="532"/>
      <c r="C37" s="532"/>
      <c r="D37" s="532"/>
      <c r="E37" s="532"/>
      <c r="F37" s="532"/>
      <c r="G37" s="533"/>
    </row>
    <row r="38" spans="1:12" s="79" customFormat="1" ht="10.5" customHeight="1">
      <c r="A38" s="529"/>
      <c r="B38" s="457"/>
      <c r="C38" s="457"/>
      <c r="D38" s="457"/>
      <c r="E38" s="457"/>
      <c r="F38" s="457"/>
      <c r="G38" s="530"/>
      <c r="L38" s="120"/>
    </row>
    <row r="39" spans="1:12" s="79" customFormat="1" ht="13.5" customHeight="1">
      <c r="A39" s="505" t="s">
        <v>244</v>
      </c>
      <c r="B39" s="506"/>
      <c r="C39" s="506"/>
      <c r="D39" s="506"/>
      <c r="E39" s="506"/>
      <c r="F39" s="506"/>
      <c r="G39" s="507"/>
      <c r="L39" s="120"/>
    </row>
    <row r="40" spans="1:12" s="79" customFormat="1" ht="13.5" customHeight="1">
      <c r="A40" s="523" t="s">
        <v>250</v>
      </c>
      <c r="B40" s="524"/>
      <c r="C40" s="524"/>
      <c r="D40" s="524"/>
      <c r="E40" s="524"/>
      <c r="F40" s="524"/>
      <c r="G40" s="525"/>
      <c r="L40" s="120"/>
    </row>
    <row r="41" spans="1:12" s="79" customFormat="1" ht="13.5" customHeight="1">
      <c r="A41" s="523" t="s">
        <v>245</v>
      </c>
      <c r="B41" s="524"/>
      <c r="C41" s="524"/>
      <c r="D41" s="524"/>
      <c r="E41" s="524"/>
      <c r="F41" s="524"/>
      <c r="G41" s="525"/>
      <c r="L41" s="120"/>
    </row>
    <row r="42" spans="1:12" s="79" customFormat="1" ht="13.5" customHeight="1">
      <c r="A42" s="523"/>
      <c r="B42" s="524"/>
      <c r="C42" s="524"/>
      <c r="D42" s="524"/>
      <c r="E42" s="524"/>
      <c r="F42" s="524"/>
      <c r="G42" s="525"/>
      <c r="L42" s="120"/>
    </row>
    <row r="43" spans="1:12" s="79" customFormat="1" ht="13.5" customHeight="1">
      <c r="A43" s="523" t="s">
        <v>246</v>
      </c>
      <c r="B43" s="524"/>
      <c r="C43" s="524"/>
      <c r="D43" s="524"/>
      <c r="E43" s="524"/>
      <c r="F43" s="524"/>
      <c r="G43" s="525"/>
      <c r="L43" s="120"/>
    </row>
    <row r="44" spans="1:12" s="79" customFormat="1" ht="13.5" customHeight="1">
      <c r="A44" s="523" t="s">
        <v>252</v>
      </c>
      <c r="B44" s="524"/>
      <c r="C44" s="524"/>
      <c r="D44" s="524"/>
      <c r="E44" s="524"/>
      <c r="F44" s="524"/>
      <c r="G44" s="525"/>
      <c r="L44" s="120"/>
    </row>
    <row r="45" spans="1:12" s="79" customFormat="1" ht="13.5" customHeight="1">
      <c r="A45" s="523" t="s">
        <v>253</v>
      </c>
      <c r="B45" s="524"/>
      <c r="C45" s="524"/>
      <c r="D45" s="524"/>
      <c r="E45" s="524"/>
      <c r="F45" s="524"/>
      <c r="G45" s="525"/>
      <c r="L45" s="120"/>
    </row>
    <row r="46" spans="1:12" s="79" customFormat="1" ht="13.5" customHeight="1">
      <c r="A46" s="523" t="s">
        <v>247</v>
      </c>
      <c r="B46" s="524"/>
      <c r="C46" s="524"/>
      <c r="D46" s="524"/>
      <c r="E46" s="524"/>
      <c r="F46" s="524"/>
      <c r="G46" s="525"/>
      <c r="L46" s="120"/>
    </row>
    <row r="47" spans="1:12" s="79" customFormat="1" ht="13.5" customHeight="1">
      <c r="A47" s="523"/>
      <c r="B47" s="524"/>
      <c r="C47" s="524"/>
      <c r="D47" s="524"/>
      <c r="E47" s="524"/>
      <c r="F47" s="524"/>
      <c r="G47" s="525"/>
      <c r="L47" s="120"/>
    </row>
    <row r="48" spans="1:12" s="79" customFormat="1" ht="13.5" customHeight="1">
      <c r="A48" s="523" t="s">
        <v>248</v>
      </c>
      <c r="B48" s="524"/>
      <c r="C48" s="524"/>
      <c r="D48" s="524"/>
      <c r="E48" s="524"/>
      <c r="F48" s="524"/>
      <c r="G48" s="525"/>
      <c r="L48" s="120"/>
    </row>
    <row r="49" spans="1:12" s="79" customFormat="1" ht="13.5" customHeight="1">
      <c r="A49" s="523" t="s">
        <v>249</v>
      </c>
      <c r="B49" s="524"/>
      <c r="C49" s="524"/>
      <c r="D49" s="524"/>
      <c r="E49" s="524"/>
      <c r="F49" s="524"/>
      <c r="G49" s="525"/>
      <c r="L49" s="120"/>
    </row>
    <row r="50" spans="1:12" s="79" customFormat="1" ht="13.5" customHeight="1">
      <c r="A50" s="523" t="s">
        <v>254</v>
      </c>
      <c r="B50" s="524"/>
      <c r="C50" s="524"/>
      <c r="D50" s="524"/>
      <c r="E50" s="524"/>
      <c r="F50" s="524"/>
      <c r="G50" s="525"/>
      <c r="L50" s="120"/>
    </row>
    <row r="51" spans="1:12" s="79" customFormat="1" ht="13.5" customHeight="1">
      <c r="A51" s="523" t="s">
        <v>251</v>
      </c>
      <c r="B51" s="524"/>
      <c r="C51" s="524"/>
      <c r="D51" s="524"/>
      <c r="E51" s="524"/>
      <c r="F51" s="524"/>
      <c r="G51" s="525"/>
      <c r="L51" s="120"/>
    </row>
    <row r="52" spans="1:12" s="79" customFormat="1" ht="13.5" customHeight="1">
      <c r="A52" s="523"/>
      <c r="B52" s="524"/>
      <c r="C52" s="524"/>
      <c r="D52" s="524"/>
      <c r="E52" s="524"/>
      <c r="F52" s="524"/>
      <c r="G52" s="525"/>
      <c r="L52" s="120"/>
    </row>
    <row r="53" spans="1:12" s="79" customFormat="1" ht="13.5" customHeight="1">
      <c r="A53" s="523" t="s">
        <v>510</v>
      </c>
      <c r="B53" s="524"/>
      <c r="C53" s="524"/>
      <c r="D53" s="524"/>
      <c r="E53" s="524"/>
      <c r="F53" s="524"/>
      <c r="G53" s="525"/>
      <c r="L53" s="120"/>
    </row>
    <row r="54" spans="1:12" s="79" customFormat="1" ht="13.5" customHeight="1">
      <c r="A54" s="523" t="s">
        <v>511</v>
      </c>
      <c r="B54" s="524"/>
      <c r="C54" s="524"/>
      <c r="D54" s="524"/>
      <c r="E54" s="524"/>
      <c r="F54" s="524"/>
      <c r="G54" s="525"/>
      <c r="L54" s="120"/>
    </row>
    <row r="55" spans="1:12" s="79" customFormat="1" ht="13.5" customHeight="1">
      <c r="A55" s="526"/>
      <c r="B55" s="527"/>
      <c r="C55" s="527"/>
      <c r="D55" s="527"/>
      <c r="E55" s="527"/>
      <c r="F55" s="527"/>
      <c r="G55" s="528"/>
      <c r="L55" s="120"/>
    </row>
    <row r="56" spans="1:12" s="79" customFormat="1" ht="21">
      <c r="A56" s="36" t="s">
        <v>118</v>
      </c>
      <c r="B56" s="127">
        <f>$B$1</f>
        <v>1</v>
      </c>
      <c r="C56" s="37" t="s">
        <v>40</v>
      </c>
      <c r="D56" s="38" t="str">
        <f>$E$1</f>
        <v>遭遇毎</v>
      </c>
      <c r="E56" s="564" t="str">
        <f>$B$2</f>
        <v>ワイルドブラッド・フレンジー</v>
      </c>
      <c r="F56" s="565"/>
      <c r="G56" s="566"/>
      <c r="L56" s="120"/>
    </row>
  </sheetData>
  <mergeCells count="57">
    <mergeCell ref="A52:G52"/>
    <mergeCell ref="A53:G53"/>
    <mergeCell ref="A54:G54"/>
    <mergeCell ref="A28:G28"/>
    <mergeCell ref="A29:G29"/>
    <mergeCell ref="A30:G30"/>
    <mergeCell ref="A31:G31"/>
    <mergeCell ref="A33:G33"/>
    <mergeCell ref="A35:G35"/>
    <mergeCell ref="A34:G34"/>
    <mergeCell ref="A48:G48"/>
    <mergeCell ref="A49:G49"/>
    <mergeCell ref="A32:G32"/>
    <mergeCell ref="E56:G56"/>
    <mergeCell ref="A36:G36"/>
    <mergeCell ref="A37:G37"/>
    <mergeCell ref="A38:G38"/>
    <mergeCell ref="A55:G55"/>
    <mergeCell ref="A39:G39"/>
    <mergeCell ref="A40:G40"/>
    <mergeCell ref="A41:G41"/>
    <mergeCell ref="A42:G42"/>
    <mergeCell ref="A43:G43"/>
    <mergeCell ref="A44:G44"/>
    <mergeCell ref="A45:G45"/>
    <mergeCell ref="A46:G46"/>
    <mergeCell ref="A47:G47"/>
    <mergeCell ref="A50:G50"/>
    <mergeCell ref="A51:G51"/>
    <mergeCell ref="B13:G13"/>
    <mergeCell ref="B14:G14"/>
    <mergeCell ref="B15:G15"/>
    <mergeCell ref="B16:G16"/>
    <mergeCell ref="A27:G27"/>
    <mergeCell ref="A18:C19"/>
    <mergeCell ref="D18:E18"/>
    <mergeCell ref="F18:G18"/>
    <mergeCell ref="A20:B20"/>
    <mergeCell ref="A21:A22"/>
    <mergeCell ref="A23:B23"/>
    <mergeCell ref="A24:A25"/>
    <mergeCell ref="A26:B26"/>
    <mergeCell ref="B12:G12"/>
    <mergeCell ref="J11:K11"/>
    <mergeCell ref="J9:K9"/>
    <mergeCell ref="B11:G11"/>
    <mergeCell ref="B1:C1"/>
    <mergeCell ref="F1:G1"/>
    <mergeCell ref="B2:G2"/>
    <mergeCell ref="B4:G4"/>
    <mergeCell ref="B5:G5"/>
    <mergeCell ref="B6:D6"/>
    <mergeCell ref="B7:D7"/>
    <mergeCell ref="B8:G8"/>
    <mergeCell ref="B9:G9"/>
    <mergeCell ref="B10:G10"/>
    <mergeCell ref="H4:L4"/>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K8</xm:sqref>
        </x14:dataValidation>
        <x14:dataValidation type="list" allowBlank="1" showInputMessage="1" showErrorMessage="1">
          <x14:formula1>
            <xm:f>基本!$D$27:$D$31</xm:f>
          </x14:formula1>
          <xm:sqref>I7</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2"/>
  <sheetViews>
    <sheetView zoomScaleNormal="100" workbookViewId="0">
      <selection activeCell="A2" sqref="A2:N2"/>
    </sheetView>
  </sheetViews>
  <sheetFormatPr defaultRowHeight="13.5"/>
  <cols>
    <col min="1" max="1" width="8.75" style="120" customWidth="1"/>
    <col min="2" max="2" width="17.5" style="120" customWidth="1"/>
    <col min="3" max="3" width="7.75" style="120" bestFit="1" customWidth="1"/>
    <col min="4" max="4" width="4.75" style="120" bestFit="1" customWidth="1"/>
    <col min="5" max="6" width="4" style="241" customWidth="1"/>
    <col min="7" max="7" width="5.5" style="79" customWidth="1"/>
    <col min="8" max="13" width="4" style="79" customWidth="1"/>
    <col min="14" max="14" width="11.25" style="79" customWidth="1"/>
    <col min="15" max="15" width="7.875" style="120" customWidth="1"/>
    <col min="16" max="16384" width="9" style="120"/>
  </cols>
  <sheetData>
    <row r="2" spans="1:14" ht="24.75" customHeight="1">
      <c r="A2" s="409" t="s">
        <v>520</v>
      </c>
      <c r="B2" s="409"/>
      <c r="C2" s="409"/>
      <c r="D2" s="409"/>
      <c r="E2" s="409"/>
      <c r="F2" s="409"/>
      <c r="G2" s="409"/>
      <c r="H2" s="409"/>
      <c r="I2" s="409"/>
      <c r="J2" s="409"/>
      <c r="K2" s="409"/>
      <c r="L2" s="409"/>
      <c r="M2" s="409"/>
      <c r="N2" s="409"/>
    </row>
    <row r="3" spans="1:14" ht="12" customHeight="1">
      <c r="A3" s="239"/>
      <c r="B3" s="239"/>
      <c r="C3" s="239"/>
      <c r="D3" s="239"/>
      <c r="F3" s="242"/>
      <c r="G3" s="239"/>
      <c r="N3" s="239"/>
    </row>
    <row r="4" spans="1:14" ht="24.75" customHeight="1">
      <c r="A4" s="239"/>
      <c r="B4" s="209" t="s">
        <v>414</v>
      </c>
      <c r="C4" s="210">
        <v>-1</v>
      </c>
      <c r="D4" s="239"/>
      <c r="F4" s="242"/>
      <c r="G4" s="239"/>
      <c r="N4" s="239"/>
    </row>
    <row r="5" spans="1:14" ht="17.25" customHeight="1">
      <c r="A5" s="239"/>
      <c r="B5" s="239"/>
      <c r="C5" s="239"/>
      <c r="D5" s="239"/>
      <c r="F5" s="242"/>
      <c r="G5" s="239"/>
      <c r="N5" s="239"/>
    </row>
    <row r="6" spans="1:14" ht="17.25" customHeight="1">
      <c r="A6" s="410" t="s">
        <v>448</v>
      </c>
      <c r="B6" s="411" t="s">
        <v>521</v>
      </c>
      <c r="C6" s="412" t="s">
        <v>415</v>
      </c>
      <c r="D6" s="413"/>
      <c r="E6" s="416" t="s">
        <v>519</v>
      </c>
      <c r="F6" s="418" t="s">
        <v>449</v>
      </c>
      <c r="G6" s="416" t="s">
        <v>416</v>
      </c>
      <c r="H6" s="420" t="s">
        <v>417</v>
      </c>
      <c r="I6" s="418"/>
      <c r="J6" s="418"/>
      <c r="K6" s="418"/>
      <c r="L6" s="418"/>
      <c r="M6" s="421"/>
      <c r="N6" s="422" t="s">
        <v>456</v>
      </c>
    </row>
    <row r="7" spans="1:14" ht="60" customHeight="1">
      <c r="A7" s="410"/>
      <c r="B7" s="411"/>
      <c r="C7" s="414"/>
      <c r="D7" s="415"/>
      <c r="E7" s="417"/>
      <c r="F7" s="419"/>
      <c r="G7" s="417"/>
      <c r="H7" s="243" t="s">
        <v>451</v>
      </c>
      <c r="I7" s="244" t="s">
        <v>452</v>
      </c>
      <c r="J7" s="245" t="s">
        <v>447</v>
      </c>
      <c r="K7" s="245" t="s">
        <v>84</v>
      </c>
      <c r="L7" s="246" t="s">
        <v>453</v>
      </c>
      <c r="M7" s="247" t="s">
        <v>454</v>
      </c>
      <c r="N7" s="423"/>
    </row>
    <row r="8" spans="1:14" ht="23.45" customHeight="1">
      <c r="A8" s="235">
        <f t="shared" ref="A8" si="0">SUM(D8:H8)</f>
        <v>16</v>
      </c>
      <c r="B8" s="299" t="s">
        <v>522</v>
      </c>
      <c r="C8" s="219" t="s">
        <v>426</v>
      </c>
      <c r="D8" s="220">
        <f>VLOOKUP("判断力",基本!$A$5:'基本'!$D$10,4,FALSE)</f>
        <v>14</v>
      </c>
      <c r="E8" s="253">
        <v>2</v>
      </c>
      <c r="F8" s="216"/>
      <c r="G8" s="216"/>
      <c r="H8" s="233">
        <f t="shared" ref="H8" si="1">SUM(I8:M8)</f>
        <v>0</v>
      </c>
      <c r="I8" s="251"/>
      <c r="J8" s="251"/>
      <c r="K8" s="251"/>
      <c r="L8" s="251"/>
      <c r="M8" s="252"/>
      <c r="N8" s="222"/>
    </row>
    <row r="9" spans="1:14" ht="23.45" customHeight="1">
      <c r="A9" s="211">
        <f t="shared" ref="A9:A25" si="2">SUM(D9:H9)</f>
        <v>8</v>
      </c>
      <c r="B9" s="212" t="s">
        <v>418</v>
      </c>
      <c r="C9" s="213" t="s">
        <v>419</v>
      </c>
      <c r="D9" s="214">
        <f>VLOOKUP("魅力",基本!$A$5:'基本'!$D$10,4,FALSE)</f>
        <v>8</v>
      </c>
      <c r="E9" s="248"/>
      <c r="F9" s="215"/>
      <c r="G9" s="216"/>
      <c r="H9" s="213">
        <f>SUM(I9:M9)</f>
        <v>0</v>
      </c>
      <c r="I9" s="249"/>
      <c r="J9" s="249"/>
      <c r="K9" s="249"/>
      <c r="L9" s="249"/>
      <c r="M9" s="250"/>
      <c r="N9" s="217"/>
    </row>
    <row r="10" spans="1:14" ht="23.45" customHeight="1">
      <c r="A10" s="211">
        <f t="shared" si="2"/>
        <v>20</v>
      </c>
      <c r="B10" s="218" t="s">
        <v>420</v>
      </c>
      <c r="C10" s="219" t="s">
        <v>421</v>
      </c>
      <c r="D10" s="220">
        <f>VLOOKUP("筋力",基本!$A$5:'基本'!$D$10,4,FALSE)</f>
        <v>14</v>
      </c>
      <c r="E10" s="248"/>
      <c r="F10" s="221">
        <v>5</v>
      </c>
      <c r="G10" s="221">
        <f>$C$4</f>
        <v>-1</v>
      </c>
      <c r="H10" s="233">
        <f t="shared" ref="H10:H25" si="3">SUM(I10:M10)</f>
        <v>2</v>
      </c>
      <c r="I10" s="251"/>
      <c r="J10" s="251">
        <v>2</v>
      </c>
      <c r="K10" s="251"/>
      <c r="L10" s="251"/>
      <c r="M10" s="252"/>
      <c r="N10" s="222"/>
    </row>
    <row r="11" spans="1:14" ht="23.45" customHeight="1">
      <c r="A11" s="211">
        <f t="shared" si="2"/>
        <v>8</v>
      </c>
      <c r="B11" s="218" t="s">
        <v>422</v>
      </c>
      <c r="C11" s="219" t="s">
        <v>423</v>
      </c>
      <c r="D11" s="220">
        <f>VLOOKUP("敏捷力",基本!$A$5:'基本'!$D$10,4,FALSE)</f>
        <v>9</v>
      </c>
      <c r="E11" s="248"/>
      <c r="F11" s="221"/>
      <c r="G11" s="221">
        <f>$C$4</f>
        <v>-1</v>
      </c>
      <c r="H11" s="233">
        <f t="shared" si="3"/>
        <v>0</v>
      </c>
      <c r="I11" s="251"/>
      <c r="J11" s="251"/>
      <c r="K11" s="251"/>
      <c r="L11" s="251"/>
      <c r="M11" s="252"/>
      <c r="N11" s="222"/>
    </row>
    <row r="12" spans="1:14" ht="23.45" customHeight="1">
      <c r="A12" s="237">
        <f t="shared" si="2"/>
        <v>8</v>
      </c>
      <c r="B12" s="238" t="s">
        <v>424</v>
      </c>
      <c r="C12" s="219" t="s">
        <v>423</v>
      </c>
      <c r="D12" s="220">
        <f>VLOOKUP("敏捷力",基本!$A$5:'基本'!$D$10,4,FALSE)</f>
        <v>9</v>
      </c>
      <c r="E12" s="248"/>
      <c r="F12" s="221"/>
      <c r="G12" s="221">
        <f>$C$4</f>
        <v>-1</v>
      </c>
      <c r="H12" s="264">
        <f t="shared" si="3"/>
        <v>0</v>
      </c>
      <c r="I12" s="433" t="s">
        <v>458</v>
      </c>
      <c r="J12" s="434"/>
      <c r="K12" s="434"/>
      <c r="L12" s="434"/>
      <c r="M12" s="434"/>
      <c r="N12" s="435"/>
    </row>
    <row r="13" spans="1:14" ht="23.45" customHeight="1">
      <c r="A13" s="235">
        <f t="shared" si="2"/>
        <v>18</v>
      </c>
      <c r="B13" s="218" t="s">
        <v>425</v>
      </c>
      <c r="C13" s="219" t="s">
        <v>426</v>
      </c>
      <c r="D13" s="220">
        <f>VLOOKUP("判断力",基本!$A$5:'基本'!$D$10,4,FALSE)</f>
        <v>14</v>
      </c>
      <c r="E13" s="253">
        <v>2</v>
      </c>
      <c r="F13" s="221"/>
      <c r="G13" s="223"/>
      <c r="H13" s="233">
        <f t="shared" si="3"/>
        <v>2</v>
      </c>
      <c r="I13" s="251"/>
      <c r="J13" s="251"/>
      <c r="K13" s="251">
        <v>2</v>
      </c>
      <c r="L13" s="251"/>
      <c r="M13" s="252"/>
      <c r="N13" s="222"/>
    </row>
    <row r="14" spans="1:14" ht="23.45" customHeight="1">
      <c r="A14" s="235">
        <f t="shared" si="2"/>
        <v>9</v>
      </c>
      <c r="B14" s="218" t="s">
        <v>427</v>
      </c>
      <c r="C14" s="219" t="s">
        <v>419</v>
      </c>
      <c r="D14" s="220">
        <f>VLOOKUP("魅力",基本!$A$5:'基本'!$D$10,4,FALSE)</f>
        <v>8</v>
      </c>
      <c r="E14" s="253">
        <v>1</v>
      </c>
      <c r="F14" s="221"/>
      <c r="G14" s="223"/>
      <c r="H14" s="233">
        <f t="shared" si="3"/>
        <v>0</v>
      </c>
      <c r="I14" s="251"/>
      <c r="J14" s="251"/>
      <c r="K14" s="251"/>
      <c r="L14" s="251"/>
      <c r="M14" s="252"/>
      <c r="N14" s="222"/>
    </row>
    <row r="15" spans="1:14" ht="23.45" customHeight="1">
      <c r="A15" s="211">
        <f t="shared" si="2"/>
        <v>16</v>
      </c>
      <c r="B15" s="218" t="s">
        <v>428</v>
      </c>
      <c r="C15" s="219" t="s">
        <v>429</v>
      </c>
      <c r="D15" s="220">
        <f>VLOOKUP("耐久力",基本!$A$5:'基本'!$D$10,4,FALSE)</f>
        <v>10</v>
      </c>
      <c r="E15" s="248"/>
      <c r="F15" s="221">
        <v>5</v>
      </c>
      <c r="G15" s="221">
        <f>$C$4</f>
        <v>-1</v>
      </c>
      <c r="H15" s="233">
        <f t="shared" si="3"/>
        <v>2</v>
      </c>
      <c r="I15" s="251"/>
      <c r="J15" s="251">
        <v>2</v>
      </c>
      <c r="K15" s="251"/>
      <c r="L15" s="251"/>
      <c r="M15" s="252"/>
      <c r="N15" s="222"/>
    </row>
    <row r="16" spans="1:14" ht="23.45" customHeight="1">
      <c r="A16" s="211">
        <f t="shared" si="2"/>
        <v>8</v>
      </c>
      <c r="B16" s="218" t="s">
        <v>430</v>
      </c>
      <c r="C16" s="219" t="s">
        <v>419</v>
      </c>
      <c r="D16" s="220">
        <f>VLOOKUP("魅力",基本!$A$5:'基本'!$D$10,4,FALSE)</f>
        <v>8</v>
      </c>
      <c r="E16" s="248"/>
      <c r="F16" s="221"/>
      <c r="G16" s="223"/>
      <c r="H16" s="233">
        <f t="shared" si="3"/>
        <v>0</v>
      </c>
      <c r="I16" s="251"/>
      <c r="J16" s="251"/>
      <c r="K16" s="251"/>
      <c r="L16" s="251"/>
      <c r="M16" s="252"/>
      <c r="N16" s="222"/>
    </row>
    <row r="17" spans="1:15" ht="23.45" customHeight="1">
      <c r="A17" s="211">
        <f t="shared" si="2"/>
        <v>19</v>
      </c>
      <c r="B17" s="218" t="s">
        <v>431</v>
      </c>
      <c r="C17" s="219" t="s">
        <v>426</v>
      </c>
      <c r="D17" s="220">
        <f>VLOOKUP("判断力",基本!$A$5:'基本'!$D$10,4,FALSE)</f>
        <v>14</v>
      </c>
      <c r="E17" s="248"/>
      <c r="F17" s="221">
        <v>5</v>
      </c>
      <c r="G17" s="223"/>
      <c r="H17" s="233">
        <f t="shared" si="3"/>
        <v>0</v>
      </c>
      <c r="I17" s="251"/>
      <c r="J17" s="251"/>
      <c r="K17" s="251"/>
      <c r="L17" s="251"/>
      <c r="M17" s="252"/>
      <c r="N17" s="222"/>
    </row>
    <row r="18" spans="1:15" ht="23.45" customHeight="1">
      <c r="A18" s="211">
        <f t="shared" si="2"/>
        <v>7</v>
      </c>
      <c r="B18" s="218" t="s">
        <v>432</v>
      </c>
      <c r="C18" s="219" t="s">
        <v>433</v>
      </c>
      <c r="D18" s="220">
        <f>VLOOKUP("知力",基本!$A$5:'基本'!$D$10,4,FALSE)</f>
        <v>7</v>
      </c>
      <c r="E18" s="248"/>
      <c r="F18" s="221"/>
      <c r="G18" s="223"/>
      <c r="H18" s="233">
        <f t="shared" si="3"/>
        <v>0</v>
      </c>
      <c r="I18" s="251"/>
      <c r="J18" s="251"/>
      <c r="K18" s="251"/>
      <c r="L18" s="251"/>
      <c r="M18" s="252"/>
      <c r="N18" s="222"/>
      <c r="O18" s="91"/>
    </row>
    <row r="19" spans="1:15" ht="23.45" customHeight="1">
      <c r="A19" s="235">
        <f t="shared" si="2"/>
        <v>23</v>
      </c>
      <c r="B19" s="218" t="s">
        <v>434</v>
      </c>
      <c r="C19" s="219" t="s">
        <v>426</v>
      </c>
      <c r="D19" s="220">
        <f>VLOOKUP("判断力",基本!$A$5:'基本'!$D$10,4,FALSE)</f>
        <v>14</v>
      </c>
      <c r="E19" s="253">
        <v>2</v>
      </c>
      <c r="F19" s="221">
        <v>5</v>
      </c>
      <c r="G19" s="223"/>
      <c r="H19" s="233">
        <f t="shared" si="3"/>
        <v>2</v>
      </c>
      <c r="I19" s="251"/>
      <c r="J19" s="251"/>
      <c r="K19" s="251">
        <v>2</v>
      </c>
      <c r="L19" s="251"/>
      <c r="M19" s="252"/>
      <c r="N19" s="222"/>
      <c r="O19" s="91"/>
    </row>
    <row r="20" spans="1:15" ht="23.45" customHeight="1">
      <c r="A20" s="237">
        <f t="shared" si="2"/>
        <v>23</v>
      </c>
      <c r="B20" s="238" t="s">
        <v>435</v>
      </c>
      <c r="C20" s="219" t="s">
        <v>426</v>
      </c>
      <c r="D20" s="220">
        <f>VLOOKUP("判断力",基本!$A$5:'基本'!$D$10,4,FALSE)</f>
        <v>14</v>
      </c>
      <c r="E20" s="248"/>
      <c r="F20" s="221">
        <v>5</v>
      </c>
      <c r="G20" s="223"/>
      <c r="H20" s="233">
        <f t="shared" si="3"/>
        <v>4</v>
      </c>
      <c r="I20" s="251"/>
      <c r="J20" s="251"/>
      <c r="K20" s="251"/>
      <c r="L20" s="251">
        <v>4</v>
      </c>
      <c r="M20" s="252"/>
      <c r="N20" s="263" t="s">
        <v>457</v>
      </c>
    </row>
    <row r="21" spans="1:15" ht="23.45" customHeight="1">
      <c r="A21" s="211">
        <f t="shared" si="2"/>
        <v>14</v>
      </c>
      <c r="B21" s="218" t="s">
        <v>436</v>
      </c>
      <c r="C21" s="219" t="s">
        <v>426</v>
      </c>
      <c r="D21" s="220">
        <f>VLOOKUP("判断力",基本!$A$5:'基本'!$D$10,4,FALSE)</f>
        <v>14</v>
      </c>
      <c r="E21" s="248"/>
      <c r="F21" s="221"/>
      <c r="G21" s="223"/>
      <c r="H21" s="233">
        <f t="shared" si="3"/>
        <v>0</v>
      </c>
      <c r="I21" s="251"/>
      <c r="J21" s="251"/>
      <c r="K21" s="251"/>
      <c r="L21" s="251"/>
      <c r="M21" s="252"/>
      <c r="N21" s="222"/>
    </row>
    <row r="22" spans="1:15" ht="23.45" customHeight="1">
      <c r="A22" s="211">
        <f t="shared" si="2"/>
        <v>8</v>
      </c>
      <c r="B22" s="218" t="s">
        <v>437</v>
      </c>
      <c r="C22" s="219" t="s">
        <v>423</v>
      </c>
      <c r="D22" s="220">
        <f>VLOOKUP("敏捷力",基本!$A$5:'基本'!$D$10,4,FALSE)</f>
        <v>9</v>
      </c>
      <c r="E22" s="248"/>
      <c r="F22" s="221"/>
      <c r="G22" s="221">
        <f>$C$4</f>
        <v>-1</v>
      </c>
      <c r="H22" s="233">
        <f t="shared" si="3"/>
        <v>0</v>
      </c>
      <c r="I22" s="251"/>
      <c r="J22" s="251"/>
      <c r="K22" s="251"/>
      <c r="L22" s="251"/>
      <c r="M22" s="252"/>
      <c r="N22" s="222"/>
    </row>
    <row r="23" spans="1:15" ht="23.45" customHeight="1">
      <c r="A23" s="211">
        <f t="shared" si="2"/>
        <v>8</v>
      </c>
      <c r="B23" s="218" t="s">
        <v>438</v>
      </c>
      <c r="C23" s="219" t="s">
        <v>419</v>
      </c>
      <c r="D23" s="220">
        <f>VLOOKUP("魅力",基本!$A$5:'基本'!$D$10,4,FALSE)</f>
        <v>8</v>
      </c>
      <c r="E23" s="248"/>
      <c r="F23" s="221"/>
      <c r="G23" s="223"/>
      <c r="H23" s="233">
        <f t="shared" si="3"/>
        <v>0</v>
      </c>
      <c r="I23" s="251"/>
      <c r="J23" s="251"/>
      <c r="K23" s="251"/>
      <c r="L23" s="251"/>
      <c r="M23" s="252"/>
      <c r="N23" s="222"/>
    </row>
    <row r="24" spans="1:15" ht="23.45" customHeight="1">
      <c r="A24" s="211">
        <f t="shared" si="2"/>
        <v>7</v>
      </c>
      <c r="B24" s="218" t="s">
        <v>439</v>
      </c>
      <c r="C24" s="219" t="s">
        <v>433</v>
      </c>
      <c r="D24" s="220">
        <f>VLOOKUP("知力",基本!$A$5:'基本'!$D$10,4,FALSE)</f>
        <v>7</v>
      </c>
      <c r="E24" s="248"/>
      <c r="F24" s="221"/>
      <c r="G24" s="223"/>
      <c r="H24" s="233">
        <f t="shared" si="3"/>
        <v>0</v>
      </c>
      <c r="I24" s="251"/>
      <c r="J24" s="251"/>
      <c r="K24" s="251"/>
      <c r="L24" s="251"/>
      <c r="M24" s="252"/>
      <c r="N24" s="222"/>
    </row>
    <row r="25" spans="1:15" ht="23.45" customHeight="1">
      <c r="A25" s="224">
        <f t="shared" si="2"/>
        <v>7</v>
      </c>
      <c r="B25" s="225" t="s">
        <v>440</v>
      </c>
      <c r="C25" s="226" t="s">
        <v>433</v>
      </c>
      <c r="D25" s="227">
        <f>VLOOKUP("知力",基本!$A$5:'基本'!$D$10,4,FALSE)</f>
        <v>7</v>
      </c>
      <c r="E25" s="254"/>
      <c r="F25" s="228"/>
      <c r="G25" s="229"/>
      <c r="H25" s="234">
        <f t="shared" si="3"/>
        <v>0</v>
      </c>
      <c r="I25" s="255"/>
      <c r="J25" s="255"/>
      <c r="K25" s="255"/>
      <c r="L25" s="255"/>
      <c r="M25" s="256"/>
      <c r="N25" s="230"/>
    </row>
    <row r="26" spans="1:15" ht="23.25" customHeight="1">
      <c r="E26" s="257"/>
      <c r="H26" s="120"/>
      <c r="I26" s="120"/>
      <c r="J26" s="120"/>
      <c r="K26" s="120"/>
      <c r="L26" s="120"/>
      <c r="M26" s="120"/>
    </row>
    <row r="27" spans="1:15" ht="24">
      <c r="A27" s="409" t="s">
        <v>446</v>
      </c>
      <c r="B27" s="409"/>
      <c r="C27" s="409"/>
      <c r="D27" s="409"/>
      <c r="E27" s="409"/>
      <c r="F27" s="409"/>
      <c r="G27" s="409"/>
      <c r="H27" s="409"/>
      <c r="I27" s="409"/>
      <c r="J27" s="409"/>
      <c r="K27" s="409"/>
      <c r="L27" s="409"/>
      <c r="M27" s="409"/>
      <c r="N27" s="409"/>
    </row>
    <row r="28" spans="1:15" ht="15" customHeight="1">
      <c r="A28" s="239"/>
      <c r="B28" s="239"/>
      <c r="C28" s="239"/>
      <c r="D28" s="239"/>
      <c r="E28" s="242"/>
      <c r="F28" s="242"/>
      <c r="G28" s="239"/>
      <c r="H28" s="239"/>
      <c r="I28" s="239"/>
      <c r="J28" s="239"/>
      <c r="K28" s="239"/>
      <c r="L28" s="239"/>
      <c r="M28" s="239"/>
      <c r="N28" s="239"/>
    </row>
    <row r="29" spans="1:15" ht="15" customHeight="1">
      <c r="A29" s="445" t="s">
        <v>441</v>
      </c>
      <c r="B29" s="445" t="s">
        <v>442</v>
      </c>
      <c r="C29" s="445" t="s">
        <v>455</v>
      </c>
      <c r="D29" s="445"/>
      <c r="E29" s="446" t="s">
        <v>443</v>
      </c>
      <c r="F29" s="446"/>
      <c r="G29" s="447" t="s">
        <v>417</v>
      </c>
      <c r="H29" s="418"/>
      <c r="I29" s="418"/>
      <c r="J29" s="418"/>
      <c r="K29" s="418"/>
      <c r="L29" s="418"/>
      <c r="M29" s="421"/>
      <c r="N29" s="422" t="s">
        <v>450</v>
      </c>
    </row>
    <row r="30" spans="1:15" ht="13.5" customHeight="1">
      <c r="A30" s="445"/>
      <c r="B30" s="445"/>
      <c r="C30" s="445"/>
      <c r="D30" s="445"/>
      <c r="E30" s="446"/>
      <c r="F30" s="446"/>
      <c r="G30" s="258" t="s">
        <v>451</v>
      </c>
      <c r="H30" s="448" t="s">
        <v>452</v>
      </c>
      <c r="I30" s="449"/>
      <c r="J30" s="450" t="s">
        <v>84</v>
      </c>
      <c r="K30" s="449"/>
      <c r="L30" s="450" t="s">
        <v>454</v>
      </c>
      <c r="M30" s="451"/>
      <c r="N30" s="423"/>
    </row>
    <row r="31" spans="1:15" ht="30" customHeight="1">
      <c r="A31" s="235">
        <f>SUM(C31:G31)</f>
        <v>32</v>
      </c>
      <c r="B31" s="231" t="s">
        <v>444</v>
      </c>
      <c r="C31" s="436">
        <f>$A$13</f>
        <v>18</v>
      </c>
      <c r="D31" s="437"/>
      <c r="E31" s="438">
        <v>10</v>
      </c>
      <c r="F31" s="439"/>
      <c r="G31" s="259">
        <f>SUM(H31:M31)</f>
        <v>4</v>
      </c>
      <c r="H31" s="440">
        <v>4</v>
      </c>
      <c r="I31" s="441"/>
      <c r="J31" s="442"/>
      <c r="K31" s="443"/>
      <c r="L31" s="442"/>
      <c r="M31" s="444"/>
      <c r="N31" s="260"/>
    </row>
    <row r="32" spans="1:15" ht="27.75" customHeight="1">
      <c r="A32" s="236">
        <f>SUM(C32:G32)</f>
        <v>33</v>
      </c>
      <c r="B32" s="232" t="s">
        <v>445</v>
      </c>
      <c r="C32" s="424">
        <f>$A$19</f>
        <v>23</v>
      </c>
      <c r="D32" s="425"/>
      <c r="E32" s="426">
        <v>10</v>
      </c>
      <c r="F32" s="427"/>
      <c r="G32" s="261">
        <f>SUM(H32:M32)</f>
        <v>0</v>
      </c>
      <c r="H32" s="428"/>
      <c r="I32" s="429"/>
      <c r="J32" s="430"/>
      <c r="K32" s="431"/>
      <c r="L32" s="430"/>
      <c r="M32" s="432"/>
      <c r="N32" s="262"/>
    </row>
    <row r="33" spans="1:13">
      <c r="E33" s="257"/>
      <c r="H33" s="120"/>
      <c r="I33" s="120"/>
      <c r="J33" s="120"/>
      <c r="K33" s="120"/>
      <c r="L33" s="120"/>
      <c r="M33" s="120"/>
    </row>
    <row r="34" spans="1:13" ht="13.5" customHeight="1"/>
    <row r="35" spans="1:13" ht="13.5" customHeight="1"/>
    <row r="36" spans="1:13">
      <c r="E36" s="257"/>
      <c r="H36" s="120"/>
      <c r="I36" s="120"/>
      <c r="J36" s="120"/>
      <c r="K36" s="120"/>
      <c r="L36" s="120"/>
      <c r="M36" s="120"/>
    </row>
    <row r="37" spans="1:13" ht="13.5" customHeight="1"/>
    <row r="38" spans="1:13" ht="13.5" customHeight="1"/>
    <row r="39" spans="1:13">
      <c r="E39" s="257"/>
      <c r="H39" s="120"/>
      <c r="I39" s="120"/>
      <c r="J39" s="120"/>
      <c r="K39" s="120"/>
      <c r="L39" s="120"/>
      <c r="M39" s="120"/>
    </row>
    <row r="40" spans="1:13" ht="13.5" customHeight="1"/>
    <row r="41" spans="1:13" ht="13.5" customHeight="1"/>
    <row r="44" spans="1:13" s="79" customFormat="1" ht="13.5" customHeight="1">
      <c r="A44" s="120"/>
      <c r="B44" s="120"/>
      <c r="C44" s="120"/>
      <c r="D44" s="120"/>
      <c r="E44" s="241"/>
      <c r="F44" s="241"/>
    </row>
    <row r="45" spans="1:13" s="79" customFormat="1" ht="13.5" customHeight="1">
      <c r="A45" s="120"/>
      <c r="B45" s="120"/>
      <c r="C45" s="120"/>
      <c r="D45" s="120"/>
      <c r="E45" s="241"/>
      <c r="F45" s="241"/>
    </row>
    <row r="46" spans="1:13" s="79" customFormat="1" ht="13.5" customHeight="1">
      <c r="A46" s="120"/>
      <c r="B46" s="120"/>
      <c r="C46" s="120"/>
      <c r="D46" s="120"/>
      <c r="E46" s="241"/>
      <c r="F46" s="241"/>
    </row>
    <row r="47" spans="1:13" s="79" customFormat="1" ht="13.5" customHeight="1">
      <c r="A47" s="120"/>
      <c r="B47" s="120"/>
      <c r="C47" s="120"/>
      <c r="D47" s="120"/>
      <c r="E47" s="241"/>
      <c r="F47" s="241"/>
    </row>
    <row r="48" spans="1:13" s="79" customFormat="1" ht="13.5" customHeight="1">
      <c r="A48" s="120"/>
      <c r="B48" s="120"/>
      <c r="C48" s="120"/>
      <c r="D48" s="120"/>
      <c r="E48" s="241"/>
      <c r="F48" s="241"/>
    </row>
    <row r="49" spans="1:6" s="79" customFormat="1" ht="13.5" customHeight="1">
      <c r="A49" s="120"/>
      <c r="B49" s="120"/>
      <c r="C49" s="120"/>
      <c r="D49" s="120"/>
      <c r="E49" s="241"/>
      <c r="F49" s="241"/>
    </row>
    <row r="50" spans="1:6" s="79" customFormat="1" ht="13.5" customHeight="1">
      <c r="A50" s="120"/>
      <c r="B50" s="120"/>
      <c r="C50" s="120"/>
      <c r="D50" s="120"/>
      <c r="E50" s="241"/>
      <c r="F50" s="241"/>
    </row>
    <row r="51" spans="1:6" s="79" customFormat="1" ht="13.5" customHeight="1">
      <c r="A51" s="120"/>
      <c r="B51" s="120"/>
      <c r="C51" s="120"/>
      <c r="D51" s="120"/>
      <c r="E51" s="241"/>
      <c r="F51" s="241"/>
    </row>
    <row r="52" spans="1:6" s="79" customFormat="1" ht="13.5" customHeight="1">
      <c r="A52" s="120"/>
      <c r="B52" s="120"/>
      <c r="C52" s="120"/>
      <c r="D52" s="120"/>
      <c r="E52" s="241"/>
      <c r="F52" s="241"/>
    </row>
    <row r="53" spans="1:6" s="79" customFormat="1" ht="13.5" customHeight="1">
      <c r="A53" s="120"/>
      <c r="B53" s="120"/>
      <c r="C53" s="120"/>
      <c r="D53" s="120"/>
      <c r="E53" s="241"/>
      <c r="F53" s="241"/>
    </row>
    <row r="54" spans="1:6" s="79" customFormat="1" ht="13.5" customHeight="1">
      <c r="A54" s="120"/>
      <c r="B54" s="120"/>
      <c r="C54" s="120"/>
      <c r="D54" s="120"/>
      <c r="E54" s="241"/>
      <c r="F54" s="241"/>
    </row>
    <row r="55" spans="1:6" s="79" customFormat="1" ht="13.5" customHeight="1">
      <c r="A55" s="120"/>
      <c r="B55" s="120"/>
      <c r="C55" s="120"/>
      <c r="D55" s="120"/>
      <c r="E55" s="241"/>
      <c r="F55" s="241"/>
    </row>
    <row r="56" spans="1:6" s="79" customFormat="1" ht="13.5" customHeight="1">
      <c r="A56" s="120"/>
      <c r="B56" s="120"/>
      <c r="C56" s="120"/>
      <c r="D56" s="120"/>
      <c r="E56" s="241"/>
      <c r="F56" s="241"/>
    </row>
    <row r="57" spans="1:6" s="79" customFormat="1" ht="13.5" customHeight="1">
      <c r="A57" s="120"/>
      <c r="B57" s="120"/>
      <c r="C57" s="120"/>
      <c r="D57" s="120"/>
      <c r="E57" s="241"/>
      <c r="F57" s="241"/>
    </row>
    <row r="58" spans="1:6" s="79" customFormat="1" ht="13.5" customHeight="1">
      <c r="A58" s="120"/>
      <c r="B58" s="120"/>
      <c r="C58" s="120"/>
      <c r="D58" s="120"/>
      <c r="E58" s="241"/>
      <c r="F58" s="241"/>
    </row>
    <row r="59" spans="1:6" s="79" customFormat="1" ht="13.5" customHeight="1">
      <c r="A59" s="120"/>
      <c r="B59" s="120"/>
      <c r="C59" s="120"/>
      <c r="D59" s="120"/>
      <c r="E59" s="241"/>
      <c r="F59" s="241"/>
    </row>
    <row r="60" spans="1:6" s="79" customFormat="1" ht="13.5" customHeight="1">
      <c r="A60" s="120"/>
      <c r="B60" s="120"/>
      <c r="C60" s="120"/>
      <c r="D60" s="120"/>
      <c r="E60" s="241"/>
      <c r="F60" s="241"/>
    </row>
    <row r="61" spans="1:6" s="79" customFormat="1" ht="13.5" customHeight="1">
      <c r="A61" s="120"/>
      <c r="B61" s="120"/>
      <c r="C61" s="120"/>
      <c r="D61" s="120"/>
      <c r="E61" s="241"/>
      <c r="F61" s="241"/>
    </row>
    <row r="62" spans="1:6" s="79" customFormat="1">
      <c r="A62" s="120"/>
      <c r="B62" s="120"/>
      <c r="C62" s="120"/>
      <c r="D62" s="120"/>
      <c r="E62" s="241"/>
      <c r="F62" s="241"/>
    </row>
  </sheetData>
  <mergeCells count="30">
    <mergeCell ref="I12:N12"/>
    <mergeCell ref="C31:D31"/>
    <mergeCell ref="E31:F31"/>
    <mergeCell ref="H31:I31"/>
    <mergeCell ref="J31:K31"/>
    <mergeCell ref="L31:M31"/>
    <mergeCell ref="A27:N27"/>
    <mergeCell ref="A29:A30"/>
    <mergeCell ref="B29:B30"/>
    <mergeCell ref="C29:D30"/>
    <mergeCell ref="E29:F30"/>
    <mergeCell ref="G29:M29"/>
    <mergeCell ref="N29:N30"/>
    <mergeCell ref="H30:I30"/>
    <mergeCell ref="J30:K30"/>
    <mergeCell ref="L30:M30"/>
    <mergeCell ref="C32:D32"/>
    <mergeCell ref="E32:F32"/>
    <mergeCell ref="H32:I32"/>
    <mergeCell ref="J32:K32"/>
    <mergeCell ref="L32:M32"/>
    <mergeCell ref="A2:N2"/>
    <mergeCell ref="A6:A7"/>
    <mergeCell ref="B6:B7"/>
    <mergeCell ref="C6:D7"/>
    <mergeCell ref="E6:E7"/>
    <mergeCell ref="F6:F7"/>
    <mergeCell ref="G6:G7"/>
    <mergeCell ref="H6:M6"/>
    <mergeCell ref="N6:N7"/>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&amp;Cリュカオン&amp;R&amp;D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S61"/>
  <sheetViews>
    <sheetView zoomScaleNormal="100" workbookViewId="0">
      <selection activeCell="B2" sqref="B2:G2"/>
    </sheetView>
  </sheetViews>
  <sheetFormatPr defaultRowHeight="13.5"/>
  <cols>
    <col min="1" max="1" width="7.875" style="73" customWidth="1"/>
    <col min="2" max="2" width="8.5" style="73" customWidth="1"/>
    <col min="3" max="3" width="6.625" style="73" customWidth="1"/>
    <col min="4" max="4" width="15.75" style="73" customWidth="1"/>
    <col min="5" max="6" width="15.75" style="28" customWidth="1"/>
    <col min="7" max="7" width="18.25" style="28" customWidth="1"/>
    <col min="8" max="8" width="17.375" style="28" customWidth="1"/>
    <col min="9" max="9" width="14.625" style="28" customWidth="1"/>
    <col min="10" max="10" width="8.375" style="28" customWidth="1"/>
    <col min="11" max="11" width="7.5" style="28" customWidth="1"/>
    <col min="12" max="12" width="7.875" style="73" customWidth="1"/>
    <col min="13" max="13" width="9.25" style="73" customWidth="1"/>
    <col min="14" max="14" width="12.375" style="73" customWidth="1"/>
    <col min="15" max="16384" width="9" style="73"/>
  </cols>
  <sheetData>
    <row r="1" spans="1:19" ht="21">
      <c r="A1" s="10"/>
      <c r="B1" s="485"/>
      <c r="C1" s="486"/>
      <c r="D1" s="12" t="s">
        <v>40</v>
      </c>
      <c r="E1" s="11" t="s">
        <v>41</v>
      </c>
      <c r="F1" s="487"/>
      <c r="G1" s="488"/>
      <c r="H1" s="31" t="s">
        <v>55</v>
      </c>
    </row>
    <row r="2" spans="1:19" ht="24.75" customHeight="1">
      <c r="A2" s="12" t="s">
        <v>0</v>
      </c>
      <c r="B2" s="489" t="s">
        <v>103</v>
      </c>
      <c r="C2" s="489"/>
      <c r="D2" s="489"/>
      <c r="E2" s="489"/>
      <c r="F2" s="489"/>
      <c r="G2" s="489"/>
      <c r="H2" s="31" t="s">
        <v>56</v>
      </c>
    </row>
    <row r="3" spans="1:19" ht="19.5" customHeight="1">
      <c r="A3" s="30" t="s">
        <v>48</v>
      </c>
      <c r="B3" s="28"/>
      <c r="C3" s="28"/>
      <c r="D3" s="28"/>
      <c r="I3" s="31"/>
    </row>
    <row r="4" spans="1:19">
      <c r="A4" s="67" t="s">
        <v>46</v>
      </c>
      <c r="B4" s="480"/>
      <c r="C4" s="481"/>
      <c r="D4" s="481"/>
      <c r="E4" s="481"/>
      <c r="F4" s="481"/>
      <c r="G4" s="482"/>
      <c r="H4" s="394" t="s">
        <v>646</v>
      </c>
      <c r="I4" s="395"/>
      <c r="J4" s="395"/>
      <c r="K4" s="395"/>
      <c r="L4" s="395"/>
      <c r="M4" s="396"/>
      <c r="N4" s="394" t="s">
        <v>646</v>
      </c>
      <c r="O4" s="395"/>
      <c r="P4" s="395"/>
      <c r="Q4" s="395"/>
      <c r="R4" s="395"/>
      <c r="S4" s="396"/>
    </row>
    <row r="5" spans="1:19">
      <c r="A5" s="68" t="s">
        <v>39</v>
      </c>
      <c r="B5" s="480"/>
      <c r="C5" s="481"/>
      <c r="D5" s="481"/>
      <c r="E5" s="481"/>
      <c r="F5" s="481"/>
      <c r="G5" s="482"/>
      <c r="H5" s="75" t="s">
        <v>43</v>
      </c>
      <c r="I5" s="77" t="s">
        <v>69</v>
      </c>
      <c r="J5" s="77" t="s">
        <v>100</v>
      </c>
      <c r="N5" s="324" t="s">
        <v>43</v>
      </c>
      <c r="O5" s="325" t="s">
        <v>71</v>
      </c>
      <c r="P5" s="325" t="s">
        <v>100</v>
      </c>
      <c r="Q5" s="79"/>
      <c r="R5" s="120"/>
    </row>
    <row r="6" spans="1:19">
      <c r="A6" s="68" t="s">
        <v>7</v>
      </c>
      <c r="B6" s="480" t="s">
        <v>5</v>
      </c>
      <c r="C6" s="481"/>
      <c r="D6" s="482"/>
      <c r="E6" s="75" t="s">
        <v>43</v>
      </c>
      <c r="F6" s="76" t="str">
        <f>$I$5</f>
        <v>近接</v>
      </c>
      <c r="G6" s="76" t="str">
        <f>IF($J$5 = 0,"", $J$5)</f>
        <v>武器</v>
      </c>
      <c r="H6" s="75" t="s">
        <v>66</v>
      </c>
      <c r="I6" s="77"/>
      <c r="J6" s="77"/>
      <c r="N6" s="324" t="s">
        <v>66</v>
      </c>
      <c r="O6" s="325"/>
      <c r="P6" s="325"/>
      <c r="Q6" s="79"/>
      <c r="R6" s="120"/>
    </row>
    <row r="7" spans="1:19">
      <c r="A7" s="69" t="s">
        <v>6</v>
      </c>
      <c r="B7" s="480" t="s">
        <v>91</v>
      </c>
      <c r="C7" s="481"/>
      <c r="D7" s="482"/>
      <c r="E7" s="75" t="s">
        <v>66</v>
      </c>
      <c r="F7" s="76" t="str">
        <f>IF($I$6 = 0,"", $I$6)</f>
        <v/>
      </c>
      <c r="G7" s="76" t="str">
        <f>IF($J$6 = 0,"", $J$6)</f>
        <v/>
      </c>
      <c r="H7" s="75" t="s">
        <v>85</v>
      </c>
      <c r="I7" s="77" t="s">
        <v>101</v>
      </c>
      <c r="J7" s="31" t="s">
        <v>62</v>
      </c>
      <c r="L7" s="176" t="s">
        <v>318</v>
      </c>
      <c r="N7" s="324" t="s">
        <v>85</v>
      </c>
      <c r="O7" s="325" t="s">
        <v>642</v>
      </c>
      <c r="P7" s="84" t="s">
        <v>62</v>
      </c>
      <c r="Q7" s="79"/>
      <c r="R7" s="176" t="s">
        <v>318</v>
      </c>
    </row>
    <row r="8" spans="1:19">
      <c r="A8" s="69" t="s">
        <v>8</v>
      </c>
      <c r="B8" s="480" t="s">
        <v>665</v>
      </c>
      <c r="C8" s="481"/>
      <c r="D8" s="481"/>
      <c r="E8" s="481"/>
      <c r="F8" s="481"/>
      <c r="G8" s="482"/>
      <c r="H8" s="75" t="s">
        <v>51</v>
      </c>
      <c r="I8" s="77" t="s">
        <v>12</v>
      </c>
      <c r="J8" s="76">
        <f>IF($I$8 = "筋力",基本!$C$5,IF($I$8 = "耐久力",基本!$C$6,IF($I$8 = "敏捷力",基本!$C$7,IF($I$8 = "知力",基本!$C$8,IF($I$8 = "判断力",基本!$C$9,IF($I$8 = "魅力",基本!$C$10,""))))))</f>
        <v>6</v>
      </c>
      <c r="K8" s="77" t="s">
        <v>90</v>
      </c>
      <c r="L8" s="177">
        <f>$J$8+$L$9+$I$9</f>
        <v>22</v>
      </c>
      <c r="N8" s="324" t="s">
        <v>51</v>
      </c>
      <c r="O8" s="325" t="s">
        <v>12</v>
      </c>
      <c r="P8" s="323">
        <f>IF(O8="",0,VLOOKUP(O8,基本!$A$5:'基本'!$C$10,3,FALSE))</f>
        <v>6</v>
      </c>
      <c r="Q8" s="325" t="s">
        <v>90</v>
      </c>
      <c r="R8" s="177">
        <f>$P$8+$O$9+$R$9</f>
        <v>21</v>
      </c>
    </row>
    <row r="9" spans="1:19" ht="14.25" customHeight="1">
      <c r="A9" s="70" t="s">
        <v>9</v>
      </c>
      <c r="B9" s="474" t="s">
        <v>271</v>
      </c>
      <c r="C9" s="475"/>
      <c r="D9" s="475"/>
      <c r="E9" s="475"/>
      <c r="F9" s="475"/>
      <c r="G9" s="476"/>
      <c r="H9" s="75" t="s">
        <v>58</v>
      </c>
      <c r="I9" s="77">
        <v>0</v>
      </c>
      <c r="J9" s="394" t="s">
        <v>53</v>
      </c>
      <c r="K9" s="396"/>
      <c r="L9" s="76">
        <f>IF($I$7=基本!$F$4,基本!$P$7,IF($I$7=基本!$F$13,基本!$P$16,IF($I$7=基本!$F$22,基本!$P$25,IF($I$7=基本!$F$31,基本!$P$34,IF($I$7=基本!$F$40,基本!$P$43,0)))))</f>
        <v>16</v>
      </c>
      <c r="N9" s="324" t="s">
        <v>58</v>
      </c>
      <c r="O9" s="325">
        <v>0</v>
      </c>
      <c r="P9" s="394" t="s">
        <v>53</v>
      </c>
      <c r="Q9" s="396"/>
      <c r="R9" s="323">
        <f>IF($O$7=基本!$F$4,基本!$P$7,IF($O$7=基本!$F$13,基本!$P$16,IF($O$7=基本!$F$22,基本!$P$25,IF($O$7=基本!$F$31,基本!$P$34,IF($O$7=基本!$F$40,基本!$P$43,0)))))</f>
        <v>15</v>
      </c>
    </row>
    <row r="10" spans="1:19" ht="2.25" customHeight="1">
      <c r="A10" s="71"/>
      <c r="B10" s="477"/>
      <c r="C10" s="478"/>
      <c r="D10" s="478"/>
      <c r="E10" s="478"/>
      <c r="F10" s="478"/>
      <c r="G10" s="479"/>
      <c r="H10" s="33" t="s">
        <v>52</v>
      </c>
      <c r="I10" s="77" t="s">
        <v>12</v>
      </c>
      <c r="J10" s="88">
        <f>IF(I10 = "筋力",基本!$C$5,IF(I10 = "耐久力",基本!$C$6,IF(I10 = "敏捷力",基本!$C$7,IF(I10 = "知力",基本!$C$8,IF(I10 = "判断力",基本!$C$9,IF(I10 = "魅力",基本!$C$10,""))))))</f>
        <v>6</v>
      </c>
      <c r="K10" s="325" t="s">
        <v>16</v>
      </c>
      <c r="L10" s="88">
        <f>IF(K10 = "筋力",基本!$C$5,IF(K10 = "耐久力",基本!$C$6,IF(K10 = "敏捷力",基本!$C$7,IF(K10 = "知力",基本!$C$8,IF(K10 = "判断力",基本!$C$9,IF(K10 = "魅力",基本!$C$10,""))))))</f>
        <v>6</v>
      </c>
      <c r="N10" s="326" t="s">
        <v>52</v>
      </c>
      <c r="O10" s="325" t="s">
        <v>12</v>
      </c>
      <c r="P10" s="88">
        <f>IF(O10 = "筋力",基本!$C$5,IF(O10 = "耐久力",基本!$C$6,IF(O10 = "敏捷力",基本!$C$7,IF(O10 = "知力",基本!$C$8,IF(O10 = "判断力",基本!$C$9,IF(O10 = "魅力",基本!$C$10,""))))))</f>
        <v>6</v>
      </c>
      <c r="Q10" s="325" t="s">
        <v>16</v>
      </c>
      <c r="R10" s="88">
        <f>IF(Q10 = "筋力",基本!$C$5,IF(Q10 = "耐久力",基本!$C$6,IF(Q10 = "敏捷力",基本!$C$7,IF(Q10 = "知力",基本!$C$8,IF(Q10 = "判断力",基本!$C$9,IF(Q10 = "魅力",基本!$C$10,""))))))</f>
        <v>6</v>
      </c>
    </row>
    <row r="11" spans="1:19" ht="2.25" customHeight="1">
      <c r="A11" s="71"/>
      <c r="B11" s="483"/>
      <c r="C11" s="472"/>
      <c r="D11" s="472"/>
      <c r="E11" s="472"/>
      <c r="F11" s="472"/>
      <c r="G11" s="484"/>
      <c r="H11" s="75" t="s">
        <v>59</v>
      </c>
      <c r="I11" s="77">
        <v>0</v>
      </c>
      <c r="J11" s="394" t="s">
        <v>54</v>
      </c>
      <c r="K11" s="396"/>
      <c r="L11" s="76">
        <f>IF($I$7=基本!$F$4,基本!$P$9,IF($I$7=基本!$F$13,基本!$P$18,IF($I$7=基本!$F$22,基本!$P$27,IF($I$7=基本!$F$31,基本!$P$36,IF($I$7=基本!$F$40,基本!$P$45,0)))))</f>
        <v>6</v>
      </c>
      <c r="N11" s="324" t="s">
        <v>59</v>
      </c>
      <c r="O11" s="325">
        <v>0</v>
      </c>
      <c r="P11" s="394" t="s">
        <v>643</v>
      </c>
      <c r="Q11" s="396"/>
      <c r="R11" s="323">
        <f>IF($O$7=基本!$F$4,基本!$P$9,IF($O$7=基本!$F$13,基本!$P$18,IF($O$7=基本!$F$22,基本!$P$27,IF($O$7=基本!$F$31,基本!$P$36,IF($O$7=基本!$F$40,基本!$P$45,0)))))</f>
        <v>5</v>
      </c>
    </row>
    <row r="12" spans="1:19" ht="2.25" customHeight="1">
      <c r="A12" s="71"/>
      <c r="B12" s="483"/>
      <c r="C12" s="472"/>
      <c r="D12" s="472"/>
      <c r="E12" s="472"/>
      <c r="F12" s="472"/>
      <c r="G12" s="484"/>
      <c r="H12" s="166" t="s">
        <v>319</v>
      </c>
      <c r="I12" s="170">
        <v>1</v>
      </c>
      <c r="J12" s="120"/>
      <c r="K12" s="120"/>
      <c r="L12" s="176" t="s">
        <v>318</v>
      </c>
      <c r="M12" s="334" t="s">
        <v>60</v>
      </c>
      <c r="N12" s="327" t="s">
        <v>319</v>
      </c>
      <c r="O12" s="325">
        <v>1</v>
      </c>
      <c r="P12" s="120"/>
      <c r="Q12" s="120"/>
      <c r="R12" s="176" t="s">
        <v>318</v>
      </c>
      <c r="S12" s="334" t="s">
        <v>60</v>
      </c>
    </row>
    <row r="13" spans="1:19" ht="2.25" customHeight="1">
      <c r="A13" s="71"/>
      <c r="B13" s="483"/>
      <c r="C13" s="472"/>
      <c r="D13" s="472"/>
      <c r="E13" s="472"/>
      <c r="F13" s="472"/>
      <c r="G13" s="484"/>
      <c r="H13" s="34" t="s">
        <v>86</v>
      </c>
      <c r="I13" s="32">
        <f>IF($I$7=基本!$F$4,基本!$F$9,IF($I$7=基本!$F$13,基本!$F$18,IF($I$7=基本!$F$22,基本!$F$27,IF($I$7=基本!$F$31,基本!$F$36,IF($I$7=基本!$F$40,基本!$F$45,0)))))*$I$12</f>
        <v>1</v>
      </c>
      <c r="J13" s="180" t="s">
        <v>320</v>
      </c>
      <c r="K13" s="32">
        <f>IF($I$7=基本!$F$4,基本!$H$9,IF($I$7=基本!$F$13,基本!$H$18,IF($I$7=基本!$F$22,基本!$H$27,IF($I$7=基本!$F$31,基本!$H$36,IF($I$7=基本!$F$40,基本!$H$45,0)))))</f>
        <v>10</v>
      </c>
      <c r="L13" s="177">
        <f>$J$10+$L$11+$I$11</f>
        <v>12</v>
      </c>
      <c r="M13" s="325"/>
      <c r="N13" s="327" t="s">
        <v>644</v>
      </c>
      <c r="O13" s="42">
        <f>IF($O$7=基本!$F$4,基本!$F$9,IF($O$7=基本!$F$13,基本!$F$18,IF($O$7=基本!$F$22,基本!$F$27,IF($O$7=基本!$F$31,基本!$F$36,IF($O$7=基本!$F$40,基本!$F$45,0)))))*$O$12</f>
        <v>1</v>
      </c>
      <c r="P13" s="324" t="s">
        <v>645</v>
      </c>
      <c r="Q13" s="42">
        <f>IF($O$7=基本!$F$4,基本!$H$9,IF($O$7=基本!$F$13,基本!$H$18,IF($O$7=基本!$F$22,基本!$H$27,IF($O$7=基本!$F$31,基本!$H$36,IF($O$7=基本!$F$40,基本!$H$45,0)))))</f>
        <v>6</v>
      </c>
      <c r="R13" s="177">
        <f>$P$10+$O$11+$R$11</f>
        <v>11</v>
      </c>
      <c r="S13" s="325"/>
    </row>
    <row r="14" spans="1:19" ht="2.25" customHeight="1">
      <c r="A14" s="71"/>
      <c r="B14" s="477"/>
      <c r="C14" s="478"/>
      <c r="D14" s="478"/>
      <c r="E14" s="478"/>
      <c r="F14" s="478"/>
      <c r="G14" s="479"/>
      <c r="H14" s="75" t="s">
        <v>50</v>
      </c>
      <c r="I14" s="32">
        <f>IF($I$7=基本!$F$4,基本!$L$11,IF($I$7=基本!$F$13,基本!$L$20,IF($I$7=基本!$F$22,基本!$L$29,IF($I$7=基本!$F$31,基本!$L$38,IF($I$7=基本!$F$40,基本!$L$47,0)))))</f>
        <v>4</v>
      </c>
      <c r="J14" s="180" t="s">
        <v>320</v>
      </c>
      <c r="K14" s="32">
        <f>IF($I$7=基本!$F$4,基本!$N$11,IF($I$7=基本!$F$13,基本!$N$20,IF($I$7=基本!$F$22,基本!$N$29,IF($I$7=基本!$F$31,基本!$N$38,IF($I$7=基本!$F$40,基本!$N$47,0)))))</f>
        <v>8</v>
      </c>
      <c r="L14" s="177">
        <f>$J$10+$L$11+$I$11+($I$13*$K$13)</f>
        <v>22</v>
      </c>
      <c r="M14" s="325"/>
      <c r="N14" s="324" t="s">
        <v>50</v>
      </c>
      <c r="O14" s="42">
        <f>IF($O$7=基本!$F$4,基本!$L$11,IF($O$7=基本!$F$13,基本!$L$20,IF($O$7=基本!$F$22,基本!$L$29,IF($O$7=基本!$F$31,基本!$L$38,IF($O$7=基本!$F$40,基本!$L$47,0)))))</f>
        <v>3</v>
      </c>
      <c r="P14" s="324" t="s">
        <v>645</v>
      </c>
      <c r="Q14" s="42">
        <f>IF($O$7=基本!$F$4,基本!$N$11,IF($O$7=基本!$F$13,基本!$N$20,IF($O$7=基本!$F$22,基本!$N$29,IF($O$7=基本!$F$31,基本!$N$38,IF($O$7=基本!$F$40,基本!$N$47,0)))))</f>
        <v>8</v>
      </c>
      <c r="R14" s="177">
        <f>$P$10+$R$11+$O$11+($O$13*$Q$13)</f>
        <v>17</v>
      </c>
      <c r="S14" s="325"/>
    </row>
    <row r="15" spans="1:19" ht="2.25" customHeight="1">
      <c r="A15" s="72"/>
      <c r="B15" s="452"/>
      <c r="C15" s="453"/>
      <c r="D15" s="453"/>
      <c r="E15" s="453"/>
      <c r="F15" s="453"/>
      <c r="G15" s="454"/>
      <c r="H15"/>
      <c r="I15"/>
      <c r="J15"/>
      <c r="K15"/>
      <c r="L15"/>
    </row>
    <row r="16" spans="1:19" ht="14.25" thickBot="1">
      <c r="A16" s="74" t="s">
        <v>47</v>
      </c>
      <c r="E16" s="3"/>
      <c r="H16"/>
      <c r="I16"/>
      <c r="J16" s="73"/>
      <c r="K16" s="73"/>
    </row>
    <row r="17" spans="1:11" ht="18.75" customHeight="1" thickBot="1">
      <c r="A17" s="468" t="str">
        <f>$B$2</f>
        <v>近接基礎攻撃</v>
      </c>
      <c r="B17" s="469"/>
      <c r="C17" s="469"/>
      <c r="D17" s="65" t="s">
        <v>2</v>
      </c>
      <c r="E17" s="50" t="s">
        <v>113</v>
      </c>
      <c r="F17" s="66" t="s">
        <v>104</v>
      </c>
      <c r="G17" s="55" t="s">
        <v>641</v>
      </c>
      <c r="J17" s="73"/>
      <c r="K17" s="73"/>
    </row>
    <row r="18" spans="1:11" s="120" customFormat="1" ht="21" customHeight="1">
      <c r="A18" s="459" t="s">
        <v>42</v>
      </c>
      <c r="B18" s="64" t="s">
        <v>117</v>
      </c>
      <c r="C18" s="462" t="s">
        <v>630</v>
      </c>
      <c r="D18" s="62" t="str">
        <f>$L$8 &amp; "+1d20"</f>
        <v>22+1d20</v>
      </c>
      <c r="E18" s="62" t="str">
        <f>$L$8 &amp; "+1d20"</f>
        <v>22+1d20</v>
      </c>
      <c r="F18" s="62" t="str">
        <f>$L$8+1 &amp; "+1d20"</f>
        <v>23+1d20</v>
      </c>
      <c r="G18" s="63" t="str">
        <f>$R$8 &amp; "+1d20"</f>
        <v>21+1d20</v>
      </c>
    </row>
    <row r="19" spans="1:11" s="120" customFormat="1" ht="21" customHeight="1">
      <c r="A19" s="460"/>
      <c r="B19" s="201" t="s">
        <v>1</v>
      </c>
      <c r="C19" s="463"/>
      <c r="D19" s="203" t="str">
        <f>$L$8+2 &amp; "+1d20"</f>
        <v>24+1d20</v>
      </c>
      <c r="E19" s="203" t="str">
        <f>$L$8+2 &amp; "+1d20"</f>
        <v>24+1d20</v>
      </c>
      <c r="F19" s="203" t="str">
        <f>$L$8+1+2 &amp; "+1d20"</f>
        <v>25+1d20</v>
      </c>
      <c r="G19" s="204" t="str">
        <f>$R$8+2 &amp; "+1d20"</f>
        <v>23+1d20</v>
      </c>
    </row>
    <row r="20" spans="1:11" ht="21" customHeight="1">
      <c r="A20" s="460"/>
      <c r="B20" s="189" t="s">
        <v>409</v>
      </c>
      <c r="C20" s="463"/>
      <c r="D20" s="187" t="str">
        <f>3+$L$8 &amp; "+1d20"</f>
        <v>25+1d20</v>
      </c>
      <c r="E20" s="187" t="str">
        <f>3+$L$8 &amp; "+1d20"</f>
        <v>25+1d20</v>
      </c>
      <c r="F20" s="187" t="str">
        <f>3+$L$8+1 &amp; "+1d20"</f>
        <v>26+1d20</v>
      </c>
      <c r="G20" s="188" t="str">
        <f>3+$R$8 &amp; "+1d20"</f>
        <v>24+1d20</v>
      </c>
      <c r="H20" s="73"/>
      <c r="I20" s="73"/>
      <c r="J20" s="73"/>
      <c r="K20" s="73"/>
    </row>
    <row r="21" spans="1:11" ht="21" customHeight="1" thickBot="1">
      <c r="A21" s="461"/>
      <c r="B21" s="202" t="s">
        <v>1</v>
      </c>
      <c r="C21" s="464"/>
      <c r="D21" s="205" t="str">
        <f>3+$L$8+2 &amp; "+1d20"</f>
        <v>27+1d20</v>
      </c>
      <c r="E21" s="205" t="str">
        <f>3+$L$8+2 &amp; "+1d20"</f>
        <v>27+1d20</v>
      </c>
      <c r="F21" s="205" t="str">
        <f>3+$L$8+1+2 &amp; "+1d20"</f>
        <v>28+1d20</v>
      </c>
      <c r="G21" s="206" t="str">
        <f>3+$R$8+2 &amp; "+1d20"</f>
        <v>26+1d20</v>
      </c>
      <c r="H21" s="73"/>
      <c r="I21" s="73"/>
      <c r="J21" s="73"/>
      <c r="K21" s="73"/>
    </row>
    <row r="22" spans="1:11" ht="20.25" customHeight="1">
      <c r="A22" s="470" t="s">
        <v>360</v>
      </c>
      <c r="B22" s="137" t="s">
        <v>361</v>
      </c>
      <c r="C22" s="335" t="str">
        <f>IF($M$13 = 0,"", $M$13)</f>
        <v/>
      </c>
      <c r="D22" s="56" t="str">
        <f>-2+$L$13 &amp; "+" &amp; $I$13 &amp; "d" &amp; $K$13</f>
        <v>10+1d10</v>
      </c>
      <c r="E22" s="56" t="str">
        <f>-2+$L$13 &amp; "+" &amp; $I$13 &amp; "d" &amp; $K$13</f>
        <v>10+1d10</v>
      </c>
      <c r="F22" s="56" t="str">
        <f>-2+$L$13 &amp; "+" &amp; $I$13 &amp; "d" &amp; $K$13</f>
        <v>10+1d10</v>
      </c>
      <c r="G22" s="57" t="str">
        <f>-2+$R$13 &amp; "+" &amp; $O$13 &amp; "d" &amp; $Q$13</f>
        <v>9+1d6</v>
      </c>
      <c r="H22" s="73"/>
      <c r="I22" s="73"/>
      <c r="J22" s="73"/>
      <c r="K22" s="73"/>
    </row>
    <row r="23" spans="1:11" ht="20.25" customHeight="1" thickBot="1">
      <c r="A23" s="471"/>
      <c r="B23" s="148" t="s">
        <v>362</v>
      </c>
      <c r="C23" s="347" t="str">
        <f>IF($M$14 = 0,"", $M$14)</f>
        <v/>
      </c>
      <c r="D23" s="150" t="str">
        <f>-2+$L$14 &amp; IF($I$14 =0,"","＆別の敵へ" &amp; $I$14 &amp; "d" &amp; $K$14)</f>
        <v>20＆別の敵へ4d8</v>
      </c>
      <c r="E23" s="150" t="str">
        <f>-2+$L$14 &amp; IF($I$14 =0,"","＆別の敵へ" &amp; $I$14 &amp; "d" &amp; $K$14)</f>
        <v>20＆別の敵へ4d8</v>
      </c>
      <c r="F23" s="150" t="str">
        <f>-2+$L$14 &amp; IF($I$14 =0,"","＆別の敵へ" &amp; $I$14 &amp; "d" &amp; $K$14)</f>
        <v>20＆別の敵へ4d8</v>
      </c>
      <c r="G23" s="305" t="str">
        <f>-2+$R$14 &amp; IF($O$14 = 0,"","+" &amp; $O$14 &amp; "d" &amp; $Q$14) &amp; " or 3d12"</f>
        <v>15+3d8 or 3d12</v>
      </c>
      <c r="H23" s="73"/>
      <c r="I23" s="73"/>
      <c r="J23" s="73"/>
      <c r="K23" s="73"/>
    </row>
    <row r="24" spans="1:11" s="120" customFormat="1" ht="20.25" customHeight="1">
      <c r="A24" s="455" t="s">
        <v>136</v>
      </c>
      <c r="B24" s="137" t="s">
        <v>361</v>
      </c>
      <c r="C24" s="335" t="str">
        <f>IF($M$13 = 0,"", $M$13)</f>
        <v/>
      </c>
      <c r="D24" s="56" t="str">
        <f>$L$13 &amp; "+" &amp; $I$13 &amp; "d" &amp; $K$13</f>
        <v>12+1d10</v>
      </c>
      <c r="E24" s="56" t="str">
        <f>$L$13 &amp; "+" &amp; $I$13 &amp; "d" &amp; $K$13</f>
        <v>12+1d10</v>
      </c>
      <c r="F24" s="56" t="str">
        <f>$L$13 &amp; "+" &amp; $I$13 &amp; "d" &amp; $K$13</f>
        <v>12+1d10</v>
      </c>
      <c r="G24" s="57" t="str">
        <f>$R$13 &amp; "+" &amp; $O$13 &amp; "d" &amp; $Q$13</f>
        <v>11+1d6</v>
      </c>
    </row>
    <row r="25" spans="1:11" s="120" customFormat="1" ht="20.25" customHeight="1" thickBot="1">
      <c r="A25" s="456"/>
      <c r="B25" s="304" t="s">
        <v>362</v>
      </c>
      <c r="C25" s="347" t="str">
        <f>IF($M$14 = 0,"", $M$14)</f>
        <v/>
      </c>
      <c r="D25" s="333" t="str">
        <f>$L$14 &amp; IF($I$14 =0,"","＆別の敵へ" &amp; $I$14 &amp; "d" &amp; $K$14)</f>
        <v>22＆別の敵へ4d8</v>
      </c>
      <c r="E25" s="333" t="str">
        <f>$L$14 &amp; IF($I$14 =0,"","＆別の敵へ" &amp; $I$14 &amp; "d" &amp; $K$14)</f>
        <v>22＆別の敵へ4d8</v>
      </c>
      <c r="F25" s="333" t="str">
        <f>$L$14 &amp; IF($I$14 =0,"","＆別の敵へ" &amp; $I$14 &amp; "d" &amp; $K$14)</f>
        <v>22＆別の敵へ4d8</v>
      </c>
      <c r="G25" s="305" t="str">
        <f>$R$14 &amp; IF($O$14 = 0,"","+" &amp; $O$14 &amp; "d" &amp; $Q$14) &amp; " or 3d12"</f>
        <v>17+3d8 or 3d12</v>
      </c>
    </row>
    <row r="26" spans="1:11" s="120" customFormat="1" ht="12" customHeight="1">
      <c r="A26" s="472"/>
      <c r="B26" s="472"/>
      <c r="C26" s="472"/>
      <c r="D26" s="472"/>
      <c r="E26" s="472"/>
      <c r="F26" s="472"/>
      <c r="G26" s="472"/>
      <c r="H26" s="79"/>
      <c r="I26" s="79"/>
      <c r="J26" s="79"/>
      <c r="K26" s="79"/>
    </row>
    <row r="27" spans="1:11" s="120" customFormat="1" ht="15" customHeight="1">
      <c r="A27" s="457" t="s">
        <v>676</v>
      </c>
      <c r="B27" s="457"/>
      <c r="C27" s="457"/>
      <c r="D27" s="457"/>
      <c r="E27" s="457"/>
      <c r="F27" s="457"/>
      <c r="G27" s="457"/>
    </row>
    <row r="28" spans="1:11" s="120" customFormat="1" ht="13.5" customHeight="1">
      <c r="A28" s="458" t="s">
        <v>677</v>
      </c>
      <c r="B28" s="458"/>
      <c r="C28" s="458"/>
      <c r="D28" s="458"/>
      <c r="E28" s="458"/>
      <c r="F28" s="458"/>
      <c r="G28" s="458"/>
      <c r="H28" s="79"/>
      <c r="I28" s="79"/>
      <c r="J28" s="79"/>
      <c r="K28" s="79"/>
    </row>
    <row r="29" spans="1:11" s="120" customFormat="1" ht="15" customHeight="1">
      <c r="A29" s="457" t="s">
        <v>678</v>
      </c>
      <c r="B29" s="457"/>
      <c r="C29" s="457"/>
      <c r="D29" s="457"/>
      <c r="E29" s="457"/>
      <c r="F29" s="457"/>
      <c r="G29" s="457"/>
    </row>
    <row r="30" spans="1:11" s="120" customFormat="1" ht="13.5" customHeight="1">
      <c r="A30" s="458" t="s">
        <v>679</v>
      </c>
      <c r="B30" s="458"/>
      <c r="C30" s="458"/>
      <c r="D30" s="458"/>
      <c r="E30" s="458"/>
      <c r="F30" s="458"/>
      <c r="G30" s="458"/>
      <c r="H30" s="79"/>
      <c r="I30" s="79"/>
      <c r="J30" s="79"/>
      <c r="K30" s="79"/>
    </row>
    <row r="31" spans="1:11" s="120" customFormat="1" ht="15" customHeight="1">
      <c r="A31" s="457" t="s">
        <v>355</v>
      </c>
      <c r="B31" s="457"/>
      <c r="C31" s="457"/>
      <c r="D31" s="457"/>
      <c r="E31" s="457"/>
      <c r="F31" s="457"/>
      <c r="G31" s="457"/>
      <c r="H31" s="79"/>
    </row>
    <row r="32" spans="1:11" s="120" customFormat="1" ht="13.5" customHeight="1">
      <c r="A32" s="458" t="s">
        <v>356</v>
      </c>
      <c r="B32" s="458"/>
      <c r="C32" s="458"/>
      <c r="D32" s="458"/>
      <c r="E32" s="458"/>
      <c r="F32" s="458"/>
      <c r="G32" s="458"/>
      <c r="H32" s="79"/>
      <c r="I32" s="79"/>
      <c r="J32" s="79"/>
      <c r="K32" s="79"/>
    </row>
    <row r="33" spans="1:11" s="120" customFormat="1" ht="13.5" customHeight="1">
      <c r="A33" s="458" t="s">
        <v>357</v>
      </c>
      <c r="B33" s="458"/>
      <c r="C33" s="458"/>
      <c r="D33" s="458"/>
      <c r="E33" s="458"/>
      <c r="F33" s="458"/>
      <c r="G33" s="458"/>
      <c r="H33" s="79"/>
      <c r="I33" s="79"/>
      <c r="J33" s="79"/>
      <c r="K33" s="79"/>
    </row>
    <row r="34" spans="1:11" s="120" customFormat="1" ht="15" customHeight="1">
      <c r="A34" s="457" t="s">
        <v>664</v>
      </c>
      <c r="B34" s="457"/>
      <c r="C34" s="457"/>
      <c r="D34" s="457"/>
      <c r="E34" s="457"/>
      <c r="F34" s="457"/>
      <c r="G34" s="457"/>
      <c r="H34" s="79"/>
    </row>
    <row r="35" spans="1:11" s="120" customFormat="1" ht="13.5" customHeight="1">
      <c r="A35" s="458" t="s">
        <v>663</v>
      </c>
      <c r="B35" s="458"/>
      <c r="C35" s="458"/>
      <c r="D35" s="458"/>
      <c r="E35" s="458"/>
      <c r="F35" s="458"/>
      <c r="G35" s="458"/>
      <c r="H35" s="79"/>
      <c r="I35" s="79"/>
      <c r="J35" s="79"/>
      <c r="K35" s="79"/>
    </row>
    <row r="36" spans="1:11" s="120" customFormat="1" ht="15" customHeight="1">
      <c r="A36" s="457" t="s">
        <v>322</v>
      </c>
      <c r="B36" s="457"/>
      <c r="C36" s="457"/>
      <c r="D36" s="457"/>
      <c r="E36" s="457"/>
      <c r="F36" s="457"/>
      <c r="G36" s="457"/>
      <c r="H36" s="79"/>
    </row>
    <row r="37" spans="1:11" s="120" customFormat="1" ht="13.5" customHeight="1">
      <c r="A37" s="490" t="s">
        <v>359</v>
      </c>
      <c r="B37" s="490"/>
      <c r="C37" s="490"/>
      <c r="D37" s="490"/>
      <c r="E37" s="490"/>
      <c r="F37" s="490"/>
      <c r="G37" s="490"/>
      <c r="H37" s="79"/>
      <c r="I37" s="79"/>
      <c r="J37" s="79"/>
      <c r="K37" s="79"/>
    </row>
    <row r="38" spans="1:11" s="120" customFormat="1" ht="13.5" customHeight="1">
      <c r="A38" s="458" t="s">
        <v>323</v>
      </c>
      <c r="B38" s="458"/>
      <c r="C38" s="458"/>
      <c r="D38" s="458"/>
      <c r="E38" s="458"/>
      <c r="F38" s="458"/>
      <c r="G38" s="458"/>
      <c r="H38" s="79"/>
      <c r="I38" s="79"/>
      <c r="J38" s="79"/>
      <c r="K38" s="79"/>
    </row>
    <row r="39" spans="1:11" s="120" customFormat="1" ht="15" customHeight="1">
      <c r="A39" s="457" t="s">
        <v>263</v>
      </c>
      <c r="B39" s="457"/>
      <c r="C39" s="457"/>
      <c r="D39" s="457"/>
      <c r="E39" s="457"/>
      <c r="F39" s="457"/>
      <c r="G39" s="457"/>
      <c r="H39" s="79"/>
    </row>
    <row r="40" spans="1:11" s="120" customFormat="1" ht="13.5" customHeight="1">
      <c r="A40" s="458" t="s">
        <v>264</v>
      </c>
      <c r="B40" s="458"/>
      <c r="C40" s="458"/>
      <c r="D40" s="458"/>
      <c r="E40" s="458"/>
      <c r="F40" s="458"/>
      <c r="G40" s="458"/>
      <c r="H40" s="79"/>
      <c r="I40" s="79"/>
      <c r="J40" s="79"/>
      <c r="K40" s="79"/>
    </row>
    <row r="41" spans="1:11" s="120" customFormat="1" ht="13.5" customHeight="1">
      <c r="A41" s="458" t="s">
        <v>265</v>
      </c>
      <c r="B41" s="458"/>
      <c r="C41" s="458"/>
      <c r="D41" s="458"/>
      <c r="E41" s="458"/>
      <c r="F41" s="458"/>
      <c r="G41" s="458"/>
      <c r="H41" s="79"/>
      <c r="I41" s="79"/>
      <c r="J41" s="79"/>
      <c r="K41" s="79"/>
    </row>
    <row r="42" spans="1:11" s="120" customFormat="1" ht="15" customHeight="1">
      <c r="A42" s="457" t="s">
        <v>497</v>
      </c>
      <c r="B42" s="457"/>
      <c r="C42" s="457"/>
      <c r="D42" s="457"/>
      <c r="E42" s="457"/>
      <c r="F42" s="457"/>
      <c r="G42" s="457"/>
      <c r="H42" s="79"/>
    </row>
    <row r="43" spans="1:11" s="120" customFormat="1" ht="13.5" customHeight="1">
      <c r="A43" s="458" t="s">
        <v>498</v>
      </c>
      <c r="B43" s="458"/>
      <c r="C43" s="458"/>
      <c r="D43" s="458"/>
      <c r="E43" s="458"/>
      <c r="F43" s="458"/>
      <c r="G43" s="458"/>
      <c r="H43" s="79"/>
      <c r="I43" s="79"/>
      <c r="J43" s="79"/>
      <c r="K43" s="79"/>
    </row>
    <row r="44" spans="1:11" s="120" customFormat="1" ht="13.5" customHeight="1">
      <c r="A44" s="458" t="s">
        <v>412</v>
      </c>
      <c r="B44" s="458"/>
      <c r="C44" s="458"/>
      <c r="D44" s="458"/>
      <c r="E44" s="458"/>
      <c r="F44" s="458"/>
      <c r="G44" s="458"/>
      <c r="H44" s="79"/>
      <c r="I44" s="79"/>
      <c r="J44" s="79"/>
      <c r="K44" s="79"/>
    </row>
    <row r="45" spans="1:11" s="120" customFormat="1" ht="13.5" customHeight="1">
      <c r="A45" s="458" t="s">
        <v>413</v>
      </c>
      <c r="B45" s="458"/>
      <c r="C45" s="458"/>
      <c r="D45" s="458"/>
      <c r="E45" s="458"/>
      <c r="F45" s="458"/>
      <c r="G45" s="458"/>
      <c r="H45" s="79"/>
      <c r="I45" s="79"/>
      <c r="J45" s="79"/>
      <c r="K45" s="79"/>
    </row>
    <row r="46" spans="1:11" s="120" customFormat="1" ht="13.5" customHeight="1">
      <c r="A46" s="473" t="s">
        <v>499</v>
      </c>
      <c r="B46" s="458"/>
      <c r="C46" s="458"/>
      <c r="D46" s="458"/>
      <c r="E46" s="458"/>
      <c r="F46" s="458"/>
      <c r="G46" s="458"/>
      <c r="H46" s="79"/>
      <c r="I46" s="79"/>
      <c r="J46" s="79"/>
      <c r="K46" s="79"/>
    </row>
    <row r="47" spans="1:11" s="120" customFormat="1" ht="13.5" customHeight="1">
      <c r="A47" s="473" t="s">
        <v>500</v>
      </c>
      <c r="B47" s="458"/>
      <c r="C47" s="458"/>
      <c r="D47" s="458"/>
      <c r="E47" s="458"/>
      <c r="F47" s="458"/>
      <c r="G47" s="458"/>
      <c r="H47" s="79"/>
      <c r="I47" s="79"/>
      <c r="J47" s="79"/>
      <c r="K47" s="79"/>
    </row>
    <row r="48" spans="1:11" s="120" customFormat="1" ht="14.25">
      <c r="A48" s="457" t="s">
        <v>324</v>
      </c>
      <c r="B48" s="457"/>
      <c r="C48" s="457"/>
      <c r="D48" s="457"/>
      <c r="E48" s="457"/>
      <c r="F48" s="457"/>
      <c r="G48" s="457"/>
      <c r="H48" s="79"/>
    </row>
    <row r="49" spans="1:12" s="120" customFormat="1" ht="13.5" customHeight="1">
      <c r="A49" s="490" t="s">
        <v>405</v>
      </c>
      <c r="B49" s="490"/>
      <c r="C49" s="490"/>
      <c r="D49" s="490"/>
      <c r="E49" s="490"/>
      <c r="F49" s="490"/>
      <c r="G49" s="490"/>
      <c r="H49" s="79"/>
      <c r="I49" s="79"/>
      <c r="J49" s="79"/>
      <c r="K49" s="79"/>
    </row>
    <row r="50" spans="1:12" s="120" customFormat="1" ht="14.25" customHeight="1">
      <c r="A50" s="457" t="s">
        <v>501</v>
      </c>
      <c r="B50" s="457"/>
      <c r="C50" s="457"/>
      <c r="D50" s="457"/>
      <c r="E50" s="457"/>
      <c r="F50" s="457"/>
      <c r="G50" s="457"/>
      <c r="H50" s="79"/>
    </row>
    <row r="51" spans="1:12" s="120" customFormat="1" ht="13.5" customHeight="1">
      <c r="A51" s="458" t="s">
        <v>502</v>
      </c>
      <c r="B51" s="458"/>
      <c r="C51" s="458"/>
      <c r="D51" s="458"/>
      <c r="E51" s="458"/>
      <c r="F51" s="458"/>
      <c r="G51" s="458"/>
      <c r="H51" s="79"/>
      <c r="I51" s="79"/>
      <c r="J51" s="79"/>
      <c r="K51" s="79"/>
    </row>
    <row r="52" spans="1:12" s="120" customFormat="1" ht="13.5" customHeight="1">
      <c r="A52" s="458" t="s">
        <v>503</v>
      </c>
      <c r="B52" s="458"/>
      <c r="C52" s="458"/>
      <c r="D52" s="458"/>
      <c r="E52" s="458"/>
      <c r="F52" s="458"/>
      <c r="G52" s="458"/>
      <c r="H52" s="79"/>
      <c r="I52" s="79"/>
      <c r="J52" s="79"/>
      <c r="K52" s="79"/>
    </row>
    <row r="53" spans="1:12" s="120" customFormat="1" ht="13.5" customHeight="1">
      <c r="A53" s="458" t="s">
        <v>504</v>
      </c>
      <c r="B53" s="458"/>
      <c r="C53" s="458"/>
      <c r="D53" s="458"/>
      <c r="E53" s="458"/>
      <c r="F53" s="458"/>
      <c r="G53" s="458"/>
      <c r="H53" s="79"/>
      <c r="I53" s="79"/>
      <c r="J53" s="79"/>
      <c r="K53" s="79"/>
    </row>
    <row r="54" spans="1:12" s="120" customFormat="1" ht="14.25" customHeight="1">
      <c r="A54" s="457" t="s">
        <v>505</v>
      </c>
      <c r="B54" s="457"/>
      <c r="C54" s="457"/>
      <c r="D54" s="457"/>
      <c r="E54" s="457"/>
      <c r="F54" s="457"/>
      <c r="G54" s="457"/>
      <c r="H54" s="79"/>
    </row>
    <row r="55" spans="1:12" s="120" customFormat="1" ht="13.5" customHeight="1">
      <c r="A55" s="458" t="s">
        <v>506</v>
      </c>
      <c r="B55" s="458"/>
      <c r="C55" s="458"/>
      <c r="D55" s="458"/>
      <c r="E55" s="458"/>
      <c r="F55" s="458"/>
      <c r="G55" s="458"/>
      <c r="H55" s="79"/>
      <c r="I55" s="79"/>
      <c r="J55" s="79"/>
      <c r="K55" s="79"/>
    </row>
    <row r="56" spans="1:12" s="120" customFormat="1" ht="13.5" customHeight="1">
      <c r="A56" s="458" t="s">
        <v>507</v>
      </c>
      <c r="B56" s="458"/>
      <c r="C56" s="458"/>
      <c r="D56" s="458"/>
      <c r="E56" s="458"/>
      <c r="F56" s="458"/>
      <c r="G56" s="458"/>
      <c r="H56" s="79"/>
      <c r="I56" s="79"/>
      <c r="J56" s="79"/>
      <c r="K56" s="79"/>
    </row>
    <row r="57" spans="1:12" s="120" customFormat="1" ht="13.5" customHeight="1">
      <c r="A57" s="458"/>
      <c r="B57" s="458"/>
      <c r="C57" s="458"/>
      <c r="D57" s="458"/>
      <c r="E57" s="458"/>
      <c r="F57" s="458"/>
      <c r="G57" s="458"/>
      <c r="H57" s="79"/>
      <c r="I57" s="79"/>
      <c r="J57" s="79"/>
      <c r="K57" s="79"/>
    </row>
    <row r="58" spans="1:12" s="28" customFormat="1" ht="21">
      <c r="A58" s="25"/>
      <c r="B58" s="78"/>
      <c r="C58" s="26"/>
      <c r="D58" s="27"/>
      <c r="E58" s="465" t="str">
        <f>$B$2</f>
        <v>近接基礎攻撃</v>
      </c>
      <c r="F58" s="466"/>
      <c r="G58" s="467"/>
      <c r="L58" s="73"/>
    </row>
    <row r="59" spans="1:12" s="28" customFormat="1" ht="13.5" customHeight="1">
      <c r="A59" s="73"/>
      <c r="B59" s="73"/>
      <c r="C59" s="73"/>
      <c r="D59" s="73"/>
      <c r="L59" s="73"/>
    </row>
    <row r="60" spans="1:12" s="28" customFormat="1" ht="13.5" customHeight="1">
      <c r="A60" s="73"/>
      <c r="B60" s="73"/>
      <c r="C60" s="73"/>
      <c r="D60" s="73"/>
      <c r="L60" s="73"/>
    </row>
    <row r="61" spans="1:12" s="28" customFormat="1">
      <c r="A61" s="73"/>
      <c r="B61" s="73"/>
      <c r="C61" s="73"/>
      <c r="D61" s="73"/>
      <c r="L61" s="73"/>
    </row>
  </sheetData>
  <mergeCells count="59">
    <mergeCell ref="A57:G57"/>
    <mergeCell ref="A27:G27"/>
    <mergeCell ref="A29:G29"/>
    <mergeCell ref="A28:G28"/>
    <mergeCell ref="A56:G56"/>
    <mergeCell ref="A48:G48"/>
    <mergeCell ref="A49:G49"/>
    <mergeCell ref="A50:G50"/>
    <mergeCell ref="A51:G51"/>
    <mergeCell ref="A39:G39"/>
    <mergeCell ref="A40:G40"/>
    <mergeCell ref="A41:G41"/>
    <mergeCell ref="A31:G31"/>
    <mergeCell ref="A37:G37"/>
    <mergeCell ref="A38:G38"/>
    <mergeCell ref="B14:G14"/>
    <mergeCell ref="B1:C1"/>
    <mergeCell ref="F1:G1"/>
    <mergeCell ref="B2:G2"/>
    <mergeCell ref="B4:G4"/>
    <mergeCell ref="B5:G5"/>
    <mergeCell ref="B12:G12"/>
    <mergeCell ref="B13:G13"/>
    <mergeCell ref="P9:Q9"/>
    <mergeCell ref="P11:Q11"/>
    <mergeCell ref="H4:M4"/>
    <mergeCell ref="N4:S4"/>
    <mergeCell ref="B9:G9"/>
    <mergeCell ref="B10:G10"/>
    <mergeCell ref="B6:D6"/>
    <mergeCell ref="B7:D7"/>
    <mergeCell ref="B8:G8"/>
    <mergeCell ref="J9:K9"/>
    <mergeCell ref="J11:K11"/>
    <mergeCell ref="B11:G11"/>
    <mergeCell ref="E58:G58"/>
    <mergeCell ref="A17:C17"/>
    <mergeCell ref="A22:A23"/>
    <mergeCell ref="A26:G26"/>
    <mergeCell ref="A32:G32"/>
    <mergeCell ref="A33:G33"/>
    <mergeCell ref="A42:G42"/>
    <mergeCell ref="A43:G43"/>
    <mergeCell ref="A44:G44"/>
    <mergeCell ref="A45:G45"/>
    <mergeCell ref="A46:G46"/>
    <mergeCell ref="A47:G47"/>
    <mergeCell ref="A52:G52"/>
    <mergeCell ref="A53:G53"/>
    <mergeCell ref="A54:G54"/>
    <mergeCell ref="A55:G55"/>
    <mergeCell ref="B15:G15"/>
    <mergeCell ref="A24:A25"/>
    <mergeCell ref="A34:G34"/>
    <mergeCell ref="A35:G35"/>
    <mergeCell ref="A36:G36"/>
    <mergeCell ref="A18:A21"/>
    <mergeCell ref="C18:C21"/>
    <mergeCell ref="A30:G30"/>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基本!$A$16:$A$19</xm:f>
          </x14:formula1>
          <xm:sqref>K8</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I7</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AC56"/>
  <sheetViews>
    <sheetView zoomScaleNormal="100" workbookViewId="0">
      <selection activeCell="B2" sqref="B2:G2"/>
    </sheetView>
  </sheetViews>
  <sheetFormatPr defaultRowHeight="13.5"/>
  <cols>
    <col min="1" max="1" width="7.875" style="120" customWidth="1"/>
    <col min="2" max="2" width="8.5" style="120" customWidth="1"/>
    <col min="3" max="3" width="6.625" style="120" customWidth="1"/>
    <col min="4" max="4" width="15.75" style="120" customWidth="1"/>
    <col min="5" max="6" width="15.75" style="79" customWidth="1"/>
    <col min="7" max="7" width="18.25" style="79" customWidth="1"/>
    <col min="8" max="8" width="17.375" style="79" customWidth="1"/>
    <col min="9" max="9" width="14.625" style="79" customWidth="1"/>
    <col min="10" max="10" width="8.375" style="79" customWidth="1"/>
    <col min="11" max="11" width="7.5" style="79" customWidth="1"/>
    <col min="12" max="12" width="7.875" style="120" customWidth="1"/>
    <col min="13" max="13" width="9.25" style="120" customWidth="1"/>
    <col min="14" max="14" width="12.375" style="120" customWidth="1"/>
    <col min="15" max="16384" width="9" style="120"/>
  </cols>
  <sheetData>
    <row r="1" spans="1:19" ht="21">
      <c r="A1" s="81"/>
      <c r="B1" s="485"/>
      <c r="C1" s="486"/>
      <c r="D1" s="83" t="s">
        <v>40</v>
      </c>
      <c r="E1" s="82" t="s">
        <v>41</v>
      </c>
      <c r="F1" s="487"/>
      <c r="G1" s="488"/>
      <c r="H1" s="84" t="s">
        <v>55</v>
      </c>
    </row>
    <row r="2" spans="1:19" ht="24.75" customHeight="1">
      <c r="A2" s="83" t="s">
        <v>0</v>
      </c>
      <c r="B2" s="489" t="s">
        <v>549</v>
      </c>
      <c r="C2" s="489"/>
      <c r="D2" s="489"/>
      <c r="E2" s="489"/>
      <c r="F2" s="489"/>
      <c r="G2" s="489"/>
      <c r="H2" s="84" t="s">
        <v>56</v>
      </c>
    </row>
    <row r="3" spans="1:19" ht="19.5" customHeight="1">
      <c r="A3" s="90" t="s">
        <v>48</v>
      </c>
      <c r="B3" s="79"/>
      <c r="C3" s="79"/>
      <c r="D3" s="79"/>
      <c r="I3" s="84"/>
    </row>
    <row r="4" spans="1:19" ht="20.25" customHeight="1">
      <c r="A4" s="83" t="s">
        <v>0</v>
      </c>
      <c r="B4" s="511" t="s">
        <v>552</v>
      </c>
      <c r="C4" s="511"/>
      <c r="D4" s="511"/>
      <c r="E4" s="511"/>
      <c r="F4" s="511"/>
      <c r="G4" s="511"/>
      <c r="H4" s="394" t="s">
        <v>646</v>
      </c>
      <c r="I4" s="395"/>
      <c r="J4" s="395"/>
      <c r="K4" s="395"/>
      <c r="L4" s="395"/>
      <c r="M4" s="396"/>
      <c r="N4" s="394" t="s">
        <v>646</v>
      </c>
      <c r="O4" s="395"/>
      <c r="P4" s="395"/>
      <c r="Q4" s="395"/>
      <c r="R4" s="395"/>
      <c r="S4" s="396"/>
    </row>
    <row r="5" spans="1:19">
      <c r="A5" s="68" t="s">
        <v>39</v>
      </c>
      <c r="B5" s="480" t="s">
        <v>528</v>
      </c>
      <c r="C5" s="481"/>
      <c r="D5" s="481"/>
      <c r="E5" s="302" t="s">
        <v>179</v>
      </c>
      <c r="F5" s="518" t="s">
        <v>529</v>
      </c>
      <c r="G5" s="519"/>
      <c r="H5" s="324" t="s">
        <v>43</v>
      </c>
      <c r="I5" s="325" t="s">
        <v>69</v>
      </c>
      <c r="J5" s="338" t="s">
        <v>73</v>
      </c>
      <c r="N5" s="324" t="s">
        <v>43</v>
      </c>
      <c r="O5" s="325" t="s">
        <v>71</v>
      </c>
      <c r="P5" s="338">
        <v>1</v>
      </c>
      <c r="Q5" s="79"/>
    </row>
    <row r="6" spans="1:19">
      <c r="A6" s="68" t="s">
        <v>7</v>
      </c>
      <c r="B6" s="480" t="s">
        <v>5</v>
      </c>
      <c r="C6" s="481"/>
      <c r="D6" s="482"/>
      <c r="E6" s="302" t="s">
        <v>43</v>
      </c>
      <c r="F6" s="300" t="str">
        <f>$I$5</f>
        <v>近接</v>
      </c>
      <c r="G6" s="300" t="str">
        <f>IF($J$5 = 0,"", $J$5)</f>
        <v>接触</v>
      </c>
      <c r="H6" s="324" t="s">
        <v>66</v>
      </c>
      <c r="I6" s="325"/>
      <c r="J6" s="325"/>
      <c r="N6" s="324" t="s">
        <v>66</v>
      </c>
      <c r="O6" s="325"/>
      <c r="P6" s="325"/>
      <c r="Q6" s="79"/>
    </row>
    <row r="7" spans="1:19">
      <c r="A7" s="69" t="s">
        <v>6</v>
      </c>
      <c r="B7" s="480" t="s">
        <v>559</v>
      </c>
      <c r="C7" s="481"/>
      <c r="D7" s="481"/>
      <c r="E7" s="481"/>
      <c r="F7" s="481"/>
      <c r="G7" s="482"/>
      <c r="H7" s="324" t="s">
        <v>85</v>
      </c>
      <c r="I7" s="325" t="s">
        <v>640</v>
      </c>
      <c r="J7" s="84" t="s">
        <v>62</v>
      </c>
      <c r="L7" s="176" t="s">
        <v>318</v>
      </c>
      <c r="N7" s="324" t="s">
        <v>85</v>
      </c>
      <c r="O7" s="325" t="s">
        <v>648</v>
      </c>
      <c r="P7" s="84" t="s">
        <v>62</v>
      </c>
      <c r="Q7" s="79"/>
      <c r="R7" s="176" t="s">
        <v>318</v>
      </c>
    </row>
    <row r="8" spans="1:19">
      <c r="A8" s="69" t="s">
        <v>8</v>
      </c>
      <c r="B8" s="480" t="s">
        <v>280</v>
      </c>
      <c r="C8" s="481"/>
      <c r="D8" s="481"/>
      <c r="E8" s="481"/>
      <c r="F8" s="481"/>
      <c r="G8" s="482"/>
      <c r="H8" s="324" t="s">
        <v>51</v>
      </c>
      <c r="I8" s="325" t="s">
        <v>12</v>
      </c>
      <c r="J8" s="323">
        <f>IF($I$8 = "筋力",基本!$C$5,IF($I$8 = "耐久力",基本!$C$6,IF($I$8 = "敏捷力",基本!$C$7,IF($I$8 = "知力",基本!$C$8,IF($I$8 = "判断力",基本!$C$9,IF($I$8 = "魅力",基本!$C$10,""))))))</f>
        <v>6</v>
      </c>
      <c r="K8" s="325" t="s">
        <v>90</v>
      </c>
      <c r="L8" s="177">
        <f>$J$8+$L$9+$I$9</f>
        <v>22</v>
      </c>
      <c r="N8" s="324" t="s">
        <v>51</v>
      </c>
      <c r="O8" s="325" t="s">
        <v>12</v>
      </c>
      <c r="P8" s="323">
        <f>IF(O8="",0,VLOOKUP(O8,基本!$A$5:'基本'!$C$10,3,FALSE))</f>
        <v>6</v>
      </c>
      <c r="Q8" s="325"/>
      <c r="R8" s="177">
        <f>$P$8+$O$9+$R$9</f>
        <v>14</v>
      </c>
    </row>
    <row r="9" spans="1:19" ht="14.25" customHeight="1">
      <c r="A9" s="70" t="s">
        <v>9</v>
      </c>
      <c r="B9" s="514" t="s">
        <v>560</v>
      </c>
      <c r="C9" s="475"/>
      <c r="D9" s="475"/>
      <c r="E9" s="475"/>
      <c r="F9" s="475"/>
      <c r="G9" s="476"/>
      <c r="H9" s="324" t="s">
        <v>58</v>
      </c>
      <c r="I9" s="325">
        <v>0</v>
      </c>
      <c r="J9" s="394" t="s">
        <v>53</v>
      </c>
      <c r="K9" s="396"/>
      <c r="L9" s="323">
        <f>IF($I$7=基本!$F$4,基本!$P$7,IF($I$7=基本!$F$13,基本!$P$16,IF($I$7=基本!$F$22,基本!$P$25,IF($I$7=基本!$F$31,基本!$P$34,IF($I$7=基本!$F$40,基本!$P$43,0)))))</f>
        <v>16</v>
      </c>
      <c r="N9" s="324" t="s">
        <v>58</v>
      </c>
      <c r="O9" s="325">
        <v>0</v>
      </c>
      <c r="P9" s="394" t="s">
        <v>53</v>
      </c>
      <c r="Q9" s="396"/>
      <c r="R9" s="323">
        <f>IF($O$7=基本!$F$4,基本!$P$7,IF($O$7=基本!$F$13,基本!$P$16,IF($O$7=基本!$F$22,基本!$P$25,IF($O$7=基本!$F$31,基本!$P$34,IF($O$7=基本!$F$40,基本!$P$43,0)))))</f>
        <v>8</v>
      </c>
    </row>
    <row r="10" spans="1:19" ht="14.25" customHeight="1">
      <c r="A10" s="72"/>
      <c r="B10" s="502" t="s">
        <v>561</v>
      </c>
      <c r="C10" s="503"/>
      <c r="D10" s="503"/>
      <c r="E10" s="503"/>
      <c r="F10" s="503"/>
      <c r="G10" s="504"/>
      <c r="H10" s="326" t="s">
        <v>52</v>
      </c>
      <c r="I10" s="325" t="s">
        <v>12</v>
      </c>
      <c r="J10" s="88">
        <f>IF(I10 = "筋力",基本!$C$5,IF(I10 = "耐久力",基本!$C$6,IF(I10 = "敏捷力",基本!$C$7,IF(I10 = "知力",基本!$C$8,IF(I10 = "判断力",基本!$C$9,IF(I10 = "魅力",基本!$C$10,""))))))</f>
        <v>6</v>
      </c>
      <c r="K10" s="325" t="s">
        <v>16</v>
      </c>
      <c r="L10" s="88">
        <f>IF(K10 = "筋力",基本!$C$5,IF(K10 = "耐久力",基本!$C$6,IF(K10 = "敏捷力",基本!$C$7,IF(K10 = "知力",基本!$C$8,IF(K10 = "判断力",基本!$C$9,IF(K10 = "魅力",基本!$C$10,""))))))</f>
        <v>6</v>
      </c>
      <c r="N10" s="326" t="s">
        <v>52</v>
      </c>
      <c r="O10" s="325" t="s">
        <v>12</v>
      </c>
      <c r="P10" s="88">
        <f>IF(O10 = "筋力",基本!$C$5,IF(O10 = "耐久力",基本!$C$6,IF(O10 = "敏捷力",基本!$C$7,IF(O10 = "知力",基本!$C$8,IF(O10 = "判断力",基本!$C$9,IF(O10 = "魅力",基本!$C$10,""))))))</f>
        <v>6</v>
      </c>
      <c r="Q10" s="325" t="s">
        <v>16</v>
      </c>
      <c r="R10" s="88">
        <f>IF(Q10 = "筋力",基本!$C$5,IF(Q10 = "耐久力",基本!$C$6,IF(Q10 = "敏捷力",基本!$C$7,IF(Q10 = "知力",基本!$C$8,IF(Q10 = "判断力",基本!$C$9,IF(Q10 = "魅力",基本!$C$10,""))))))</f>
        <v>6</v>
      </c>
    </row>
    <row r="11" spans="1:19" ht="14.25" customHeight="1">
      <c r="A11" s="69" t="s">
        <v>530</v>
      </c>
      <c r="B11" s="520" t="s">
        <v>562</v>
      </c>
      <c r="C11" s="521"/>
      <c r="D11" s="521"/>
      <c r="E11" s="521"/>
      <c r="F11" s="521"/>
      <c r="G11" s="522"/>
      <c r="H11" s="324" t="s">
        <v>59</v>
      </c>
      <c r="I11" s="325">
        <v>0</v>
      </c>
      <c r="J11" s="394" t="s">
        <v>54</v>
      </c>
      <c r="K11" s="396"/>
      <c r="L11" s="323">
        <f>IF($I$7=基本!$F$4,基本!$P$9,IF($I$7=基本!$F$13,基本!$P$18,IF($I$7=基本!$F$22,基本!$P$27,IF($I$7=基本!$F$31,基本!$P$36,IF($I$7=基本!$F$40,基本!$P$45,0)))))</f>
        <v>6</v>
      </c>
      <c r="N11" s="324" t="s">
        <v>59</v>
      </c>
      <c r="O11" s="325">
        <v>0</v>
      </c>
      <c r="P11" s="394" t="s">
        <v>643</v>
      </c>
      <c r="Q11" s="396"/>
      <c r="R11" s="323">
        <f>IF($O$7=基本!$F$4,基本!$P$9,IF($O$7=基本!$F$13,基本!$P$18,IF($O$7=基本!$F$22,基本!$P$27,IF($O$7=基本!$F$31,基本!$P$36,IF($O$7=基本!$F$40,基本!$P$45,0)))))</f>
        <v>0</v>
      </c>
    </row>
    <row r="12" spans="1:19" ht="14.25" customHeight="1">
      <c r="A12" s="71"/>
      <c r="B12" s="483" t="s">
        <v>563</v>
      </c>
      <c r="C12" s="472"/>
      <c r="D12" s="472"/>
      <c r="E12" s="472"/>
      <c r="F12" s="472"/>
      <c r="G12" s="484"/>
      <c r="H12" s="327" t="s">
        <v>319</v>
      </c>
      <c r="I12" s="325">
        <v>1</v>
      </c>
      <c r="J12" s="120"/>
      <c r="K12" s="120"/>
      <c r="L12" s="176" t="s">
        <v>318</v>
      </c>
      <c r="M12" s="334" t="s">
        <v>60</v>
      </c>
      <c r="N12" s="327" t="s">
        <v>319</v>
      </c>
      <c r="O12" s="325">
        <v>1</v>
      </c>
      <c r="R12" s="176" t="s">
        <v>318</v>
      </c>
      <c r="S12" s="334" t="s">
        <v>60</v>
      </c>
    </row>
    <row r="13" spans="1:19" ht="14.25" customHeight="1">
      <c r="A13" s="71"/>
      <c r="B13" s="483" t="s">
        <v>564</v>
      </c>
      <c r="C13" s="472"/>
      <c r="D13" s="472"/>
      <c r="E13" s="472"/>
      <c r="F13" s="472"/>
      <c r="G13" s="484"/>
      <c r="H13" s="327" t="s">
        <v>86</v>
      </c>
      <c r="I13" s="32">
        <f>IF($I$7=基本!$F$4,基本!$F$9,IF($I$7=基本!$F$13,基本!$F$18,IF($I$7=基本!$F$22,基本!$F$27,IF($I$7=基本!$F$31,基本!$F$36,IF($I$7=基本!$F$40,基本!$F$45,0)))))*$I$12</f>
        <v>1</v>
      </c>
      <c r="J13" s="324" t="s">
        <v>44</v>
      </c>
      <c r="K13" s="32">
        <f>IF($I$7=基本!$F$4,基本!$H$9,IF($I$7=基本!$F$13,基本!$H$18,IF($I$7=基本!$F$22,基本!$H$27,IF($I$7=基本!$F$31,基本!$H$36,IF($I$7=基本!$F$40,基本!$H$45,0)))))</f>
        <v>6</v>
      </c>
      <c r="L13" s="177">
        <f>$J$10+$L$11+$I$11</f>
        <v>12</v>
      </c>
      <c r="M13" s="325"/>
      <c r="N13" s="327" t="s">
        <v>644</v>
      </c>
      <c r="O13" s="42">
        <f>IF($O$7=基本!$F$4,基本!$F$9,IF($O$7=基本!$F$13,基本!$F$18,IF($O$7=基本!$F$22,基本!$F$27,IF($O$7=基本!$F$31,基本!$F$36,IF($O$7=基本!$F$40,基本!$F$45,0)))))*$O$12</f>
        <v>0</v>
      </c>
      <c r="P13" s="324" t="s">
        <v>645</v>
      </c>
      <c r="Q13" s="42">
        <f>IF($O$7=基本!$F$4,基本!$H$9,IF($O$7=基本!$F$13,基本!$H$18,IF($O$7=基本!$F$22,基本!$H$27,IF($O$7=基本!$F$31,基本!$H$36,IF($O$7=基本!$F$40,基本!$H$45,0)))))</f>
        <v>0</v>
      </c>
      <c r="R13" s="177">
        <f>$P$10+$O$11+$R$11</f>
        <v>6</v>
      </c>
      <c r="S13" s="325"/>
    </row>
    <row r="14" spans="1:19" ht="14.25" customHeight="1">
      <c r="A14" s="71"/>
      <c r="B14" s="505" t="s">
        <v>531</v>
      </c>
      <c r="C14" s="506"/>
      <c r="D14" s="506"/>
      <c r="E14" s="506"/>
      <c r="F14" s="506"/>
      <c r="G14" s="507"/>
      <c r="H14" s="324" t="s">
        <v>50</v>
      </c>
      <c r="I14" s="32">
        <f>IF($I$7=基本!$F$4,基本!$L$11,IF($I$7=基本!$F$13,基本!$L$20,IF($I$7=基本!$F$22,基本!$L$29,IF($I$7=基本!$F$31,基本!$L$38,IF($I$7=基本!$F$40,基本!$L$47,0)))))</f>
        <v>4</v>
      </c>
      <c r="J14" s="324" t="s">
        <v>44</v>
      </c>
      <c r="K14" s="32">
        <f>IF($I$7=基本!$F$4,基本!$N$11,IF($I$7=基本!$F$13,基本!$N$20,IF($I$7=基本!$F$22,基本!$N$29,IF($I$7=基本!$F$31,基本!$N$38,IF($I$7=基本!$F$40,基本!$N$47,0)))))</f>
        <v>6</v>
      </c>
      <c r="L14" s="177">
        <f>$J$10+$L$11+$I$11+($I$13*$K$13)</f>
        <v>18</v>
      </c>
      <c r="M14" s="325"/>
      <c r="N14" s="324" t="s">
        <v>50</v>
      </c>
      <c r="O14" s="42">
        <f>IF($O$7=基本!$F$4,基本!$L$11,IF($O$7=基本!$F$13,基本!$L$20,IF($O$7=基本!$F$22,基本!$L$29,IF($O$7=基本!$F$31,基本!$L$38,IF($O$7=基本!$F$40,基本!$L$47,0)))))</f>
        <v>0</v>
      </c>
      <c r="P14" s="324" t="s">
        <v>645</v>
      </c>
      <c r="Q14" s="42">
        <f>IF($O$7=基本!$F$4,基本!$N$11,IF($O$7=基本!$F$13,基本!$N$20,IF($O$7=基本!$F$22,基本!$N$29,IF($O$7=基本!$F$31,基本!$N$38,IF($O$7=基本!$F$40,基本!$N$47,0)))))</f>
        <v>0</v>
      </c>
      <c r="R14" s="177">
        <f>$P$10+$R$11+$O$11+($O$13*$Q$13)</f>
        <v>6</v>
      </c>
      <c r="S14" s="325"/>
    </row>
    <row r="15" spans="1:19" ht="14.25" customHeight="1">
      <c r="A15" s="71"/>
      <c r="B15" s="508" t="s">
        <v>565</v>
      </c>
      <c r="C15" s="509"/>
      <c r="D15" s="509"/>
      <c r="E15" s="509"/>
      <c r="F15" s="509"/>
      <c r="G15" s="510"/>
      <c r="H15"/>
      <c r="I15"/>
      <c r="J15"/>
      <c r="K15"/>
      <c r="L15"/>
    </row>
    <row r="16" spans="1:19" ht="14.25" customHeight="1">
      <c r="A16" s="71"/>
      <c r="B16" s="505" t="s">
        <v>566</v>
      </c>
      <c r="C16" s="506"/>
      <c r="D16" s="506"/>
      <c r="E16" s="506"/>
      <c r="F16" s="506"/>
      <c r="G16" s="507"/>
      <c r="H16"/>
      <c r="I16"/>
      <c r="J16" s="61"/>
      <c r="K16" s="120"/>
    </row>
    <row r="17" spans="1:29" ht="14.25" customHeight="1">
      <c r="A17" s="71"/>
      <c r="B17" s="512" t="s">
        <v>567</v>
      </c>
      <c r="C17" s="506"/>
      <c r="D17" s="506"/>
      <c r="E17" s="506"/>
      <c r="F17" s="506"/>
      <c r="G17" s="507"/>
      <c r="H17" s="61"/>
      <c r="I17" s="120"/>
      <c r="J17" s="120"/>
      <c r="K17" s="120"/>
    </row>
    <row r="18" spans="1:29" ht="14.25" customHeight="1">
      <c r="A18" s="71"/>
      <c r="B18" s="483" t="s">
        <v>568</v>
      </c>
      <c r="C18" s="472"/>
      <c r="D18" s="472"/>
      <c r="E18" s="472"/>
      <c r="F18" s="472"/>
      <c r="G18" s="484"/>
      <c r="H18" s="61"/>
      <c r="I18" s="120"/>
      <c r="J18" s="120"/>
      <c r="K18" s="120"/>
    </row>
    <row r="19" spans="1:29" ht="14.25" customHeight="1">
      <c r="A19" s="71"/>
      <c r="B19" s="483" t="s">
        <v>569</v>
      </c>
      <c r="C19" s="472"/>
      <c r="D19" s="472"/>
      <c r="E19" s="472"/>
      <c r="F19" s="472"/>
      <c r="G19" s="484"/>
      <c r="H19" s="61"/>
      <c r="I19" s="120"/>
      <c r="J19" s="120"/>
      <c r="K19" s="120"/>
    </row>
    <row r="20" spans="1:29" ht="14.25" customHeight="1">
      <c r="A20" s="71"/>
      <c r="B20" s="483" t="s">
        <v>570</v>
      </c>
      <c r="C20" s="472"/>
      <c r="D20" s="472"/>
      <c r="E20" s="472"/>
      <c r="F20" s="472"/>
      <c r="G20" s="484"/>
      <c r="H20" s="61"/>
      <c r="I20" s="120"/>
      <c r="J20" s="120"/>
      <c r="K20" s="120"/>
    </row>
    <row r="21" spans="1:29" ht="14.25" customHeight="1">
      <c r="A21" s="71"/>
      <c r="B21" s="513" t="s">
        <v>571</v>
      </c>
      <c r="C21" s="472"/>
      <c r="D21" s="472"/>
      <c r="E21" s="472"/>
      <c r="F21" s="472"/>
      <c r="G21" s="484"/>
      <c r="H21" s="61"/>
      <c r="I21" s="120"/>
      <c r="J21" s="120"/>
      <c r="K21" s="120"/>
    </row>
    <row r="22" spans="1:29" ht="14.25" customHeight="1">
      <c r="A22" s="71"/>
      <c r="B22" s="483" t="s">
        <v>572</v>
      </c>
      <c r="C22" s="472"/>
      <c r="D22" s="472"/>
      <c r="E22" s="472"/>
      <c r="F22" s="472"/>
      <c r="G22" s="484"/>
      <c r="H22" s="61"/>
      <c r="I22" s="120"/>
      <c r="J22" s="120"/>
      <c r="K22" s="120"/>
    </row>
    <row r="23" spans="1:29" s="285" customFormat="1" ht="21.75" customHeight="1">
      <c r="A23" s="71"/>
      <c r="B23" s="515" t="str">
        <f>基本!$D$5 &amp; "＋1ｄ20vs頑健 　成功で移動力の半分引き寄せ移動"</f>
        <v>14＋1ｄ20vs頑健 　成功で移動力の半分引き寄せ移動</v>
      </c>
      <c r="C23" s="516"/>
      <c r="D23" s="516"/>
      <c r="E23" s="516"/>
      <c r="F23" s="516"/>
      <c r="G23" s="517"/>
      <c r="H23" s="79"/>
      <c r="I23" s="79"/>
      <c r="J23" s="79"/>
      <c r="K23" s="120"/>
      <c r="L23" s="79"/>
      <c r="M23" s="79"/>
      <c r="N23" s="120"/>
      <c r="O23" s="120"/>
      <c r="P23" s="120"/>
      <c r="Q23" s="120"/>
      <c r="R23" s="120"/>
      <c r="S23" s="120"/>
      <c r="T23" s="120"/>
      <c r="U23" s="120"/>
      <c r="V23" s="120"/>
      <c r="W23" s="120"/>
      <c r="X23" s="120"/>
      <c r="Y23" s="120"/>
      <c r="Z23" s="120"/>
      <c r="AA23" s="120"/>
      <c r="AB23" s="120"/>
      <c r="AC23" s="120"/>
    </row>
    <row r="24" spans="1:29" s="285" customFormat="1" ht="6.75" customHeight="1">
      <c r="A24" s="72"/>
      <c r="B24" s="499"/>
      <c r="C24" s="500"/>
      <c r="D24" s="500"/>
      <c r="E24" s="500"/>
      <c r="F24" s="500"/>
      <c r="G24" s="501"/>
      <c r="H24" s="79"/>
      <c r="I24" s="79"/>
      <c r="J24" s="79"/>
      <c r="K24" s="120"/>
      <c r="L24" s="79"/>
      <c r="M24" s="79"/>
      <c r="N24" s="120"/>
      <c r="O24" s="120"/>
      <c r="P24" s="120"/>
      <c r="Q24" s="120"/>
      <c r="R24" s="120"/>
      <c r="S24" s="120"/>
      <c r="T24" s="120"/>
      <c r="U24" s="120"/>
      <c r="V24" s="120"/>
      <c r="W24" s="120"/>
      <c r="X24" s="120"/>
      <c r="Y24" s="120"/>
      <c r="Z24" s="120"/>
      <c r="AA24" s="120"/>
      <c r="AB24" s="120"/>
      <c r="AC24" s="120"/>
    </row>
    <row r="25" spans="1:29" ht="6.75" customHeight="1">
      <c r="A25" s="316"/>
      <c r="B25" s="316"/>
      <c r="C25" s="316"/>
      <c r="D25" s="316"/>
      <c r="E25" s="316"/>
      <c r="F25" s="316"/>
      <c r="G25" s="316"/>
      <c r="H25" s="120"/>
      <c r="I25" s="120"/>
      <c r="J25" s="120"/>
      <c r="K25" s="120"/>
    </row>
    <row r="26" spans="1:29" ht="20.25" customHeight="1">
      <c r="A26" s="83" t="s">
        <v>0</v>
      </c>
      <c r="B26" s="511" t="s">
        <v>553</v>
      </c>
      <c r="C26" s="511"/>
      <c r="D26" s="511"/>
      <c r="E26" s="511"/>
      <c r="F26" s="511"/>
      <c r="G26" s="511"/>
      <c r="K26" s="120"/>
      <c r="L26" s="79"/>
      <c r="M26" s="79"/>
    </row>
    <row r="27" spans="1:29" ht="13.5" customHeight="1">
      <c r="A27" s="309" t="s">
        <v>554</v>
      </c>
      <c r="B27" s="480" t="s">
        <v>5</v>
      </c>
      <c r="C27" s="481"/>
      <c r="D27" s="482"/>
      <c r="E27" s="310" t="s">
        <v>43</v>
      </c>
      <c r="F27" s="303" t="s">
        <v>555</v>
      </c>
      <c r="G27" s="303">
        <v>1</v>
      </c>
      <c r="K27" s="120"/>
      <c r="L27" s="79"/>
      <c r="M27" s="79"/>
    </row>
    <row r="28" spans="1:29" ht="13.5" customHeight="1">
      <c r="A28" s="302" t="s">
        <v>6</v>
      </c>
      <c r="B28" s="311" t="s">
        <v>91</v>
      </c>
      <c r="C28" s="312"/>
      <c r="D28" s="312"/>
      <c r="E28" s="312"/>
      <c r="F28" s="312"/>
      <c r="G28" s="315"/>
      <c r="K28" s="120"/>
      <c r="L28" s="79"/>
      <c r="M28" s="79"/>
    </row>
    <row r="29" spans="1:29" ht="13.5" customHeight="1">
      <c r="A29" s="69" t="s">
        <v>8</v>
      </c>
      <c r="B29" s="311" t="s">
        <v>272</v>
      </c>
      <c r="C29" s="312"/>
      <c r="D29" s="312"/>
      <c r="E29" s="313"/>
      <c r="F29" s="313"/>
      <c r="G29" s="314"/>
      <c r="K29" s="120"/>
      <c r="L29" s="79"/>
      <c r="M29" s="79"/>
    </row>
    <row r="30" spans="1:29" ht="13.5" customHeight="1">
      <c r="A30" s="70" t="s">
        <v>556</v>
      </c>
      <c r="B30" s="514" t="s">
        <v>557</v>
      </c>
      <c r="C30" s="475"/>
      <c r="D30" s="475"/>
      <c r="E30" s="475"/>
      <c r="F30" s="475"/>
      <c r="G30" s="476"/>
      <c r="K30" s="120"/>
      <c r="L30" s="79"/>
      <c r="M30" s="79"/>
    </row>
    <row r="31" spans="1:29" ht="13.5" customHeight="1">
      <c r="A31" s="72"/>
      <c r="B31" s="502" t="s">
        <v>558</v>
      </c>
      <c r="C31" s="503"/>
      <c r="D31" s="503"/>
      <c r="E31" s="503"/>
      <c r="F31" s="503"/>
      <c r="G31" s="504"/>
      <c r="K31" s="120"/>
      <c r="L31" s="79"/>
      <c r="M31" s="79"/>
    </row>
    <row r="32" spans="1:29" ht="8.25" customHeight="1">
      <c r="A32" s="472"/>
      <c r="B32" s="472"/>
      <c r="C32" s="472"/>
      <c r="D32" s="472"/>
      <c r="E32" s="472"/>
      <c r="F32" s="472"/>
      <c r="G32" s="472"/>
    </row>
    <row r="33" spans="1:11" ht="14.25" thickBot="1">
      <c r="A33" s="113" t="s">
        <v>47</v>
      </c>
      <c r="E33" s="80"/>
      <c r="H33" s="120"/>
      <c r="I33" s="120"/>
      <c r="J33" s="120"/>
      <c r="K33" s="120"/>
    </row>
    <row r="34" spans="1:11" ht="18.75" customHeight="1" thickBot="1">
      <c r="A34" s="468" t="str">
        <f>$B$2</f>
        <v>[素手]で行う主な攻撃　</v>
      </c>
      <c r="B34" s="469"/>
      <c r="C34" s="469"/>
      <c r="D34" s="50" t="s">
        <v>649</v>
      </c>
      <c r="E34" s="306" t="s">
        <v>527</v>
      </c>
      <c r="F34" s="307" t="s">
        <v>551</v>
      </c>
      <c r="G34" s="308" t="s">
        <v>550</v>
      </c>
      <c r="J34" s="120"/>
      <c r="K34" s="120"/>
    </row>
    <row r="35" spans="1:11" ht="23.25" customHeight="1">
      <c r="A35" s="459" t="s">
        <v>42</v>
      </c>
      <c r="B35" s="495" t="s">
        <v>117</v>
      </c>
      <c r="C35" s="496"/>
      <c r="D35" s="62" t="str">
        <f>$L$8 &amp; "+1d20"</f>
        <v>22+1d20</v>
      </c>
      <c r="E35" s="62" t="str">
        <f>$R$8 &amp; "+1d20"</f>
        <v>14+1d20</v>
      </c>
      <c r="F35" s="62" t="str">
        <f>$R$8 &amp; "+1d20"</f>
        <v>14+1d20</v>
      </c>
      <c r="G35" s="63" t="str">
        <f>1+$R$8 &amp; "+1d20"</f>
        <v>15+1d20</v>
      </c>
      <c r="H35" s="120"/>
      <c r="I35" s="120"/>
      <c r="J35" s="120"/>
      <c r="K35" s="120"/>
    </row>
    <row r="36" spans="1:11" ht="23.25" customHeight="1">
      <c r="A36" s="460"/>
      <c r="B36" s="497" t="s">
        <v>1</v>
      </c>
      <c r="C36" s="498"/>
      <c r="D36" s="203" t="str">
        <f>$L$8+2 &amp; "+1d20"</f>
        <v>24+1d20</v>
      </c>
      <c r="E36" s="203" t="str">
        <f>$R$8+2 &amp; "+1d20"</f>
        <v>16+1d20</v>
      </c>
      <c r="F36" s="203" t="str">
        <f>$R$8+2 &amp; "+1d20"</f>
        <v>16+1d20</v>
      </c>
      <c r="G36" s="204" t="str">
        <f>1+$R$8+2 &amp; "+1d20"</f>
        <v>17+1d20</v>
      </c>
      <c r="H36" s="120"/>
      <c r="I36" s="120"/>
      <c r="J36" s="120"/>
      <c r="K36" s="120"/>
    </row>
    <row r="37" spans="1:11" ht="23.25" customHeight="1">
      <c r="A37" s="460"/>
      <c r="B37" s="491" t="s">
        <v>548</v>
      </c>
      <c r="C37" s="492"/>
      <c r="D37" s="187" t="str">
        <f>3+$L$8 &amp; "+1d20"</f>
        <v>25+1d20</v>
      </c>
      <c r="E37" s="187" t="str">
        <f>3+$R$8 &amp; "+1d20"</f>
        <v>17+1d20</v>
      </c>
      <c r="F37" s="187" t="str">
        <f>3+$R$8 &amp; "+1d20"</f>
        <v>17+1d20</v>
      </c>
      <c r="G37" s="188" t="str">
        <f>1+3+$R$8 &amp; "+1d20"</f>
        <v>18+1d20</v>
      </c>
      <c r="H37" s="120"/>
      <c r="I37" s="120"/>
      <c r="J37" s="120"/>
      <c r="K37" s="120"/>
    </row>
    <row r="38" spans="1:11" ht="23.25" customHeight="1" thickBot="1">
      <c r="A38" s="461"/>
      <c r="B38" s="493" t="s">
        <v>1</v>
      </c>
      <c r="C38" s="494"/>
      <c r="D38" s="205" t="str">
        <f>3+$L$8+2 &amp; "+1d20"</f>
        <v>27+1d20</v>
      </c>
      <c r="E38" s="205" t="str">
        <f>3+$R$8+2 &amp; "+1d20"</f>
        <v>19+1d20</v>
      </c>
      <c r="F38" s="205" t="str">
        <f>3+$R$8+2 &amp; "+1d20"</f>
        <v>19+1d20</v>
      </c>
      <c r="G38" s="206" t="str">
        <f>1+3+$R$8+2 &amp; "+1d20"</f>
        <v>20+1d20</v>
      </c>
      <c r="H38" s="120"/>
      <c r="I38" s="120"/>
      <c r="J38" s="120"/>
      <c r="K38" s="120"/>
    </row>
    <row r="39" spans="1:11" ht="21" customHeight="1">
      <c r="A39" s="470" t="s">
        <v>360</v>
      </c>
      <c r="B39" s="137" t="s">
        <v>361</v>
      </c>
      <c r="C39" s="335" t="str">
        <f>IF($M$13 = 0,"", $M$13)</f>
        <v/>
      </c>
      <c r="D39" s="57" t="str">
        <f>-2+$L$13 &amp; "+" &amp; $I$13 &amp; "d" &amp; $K$13</f>
        <v>10+1d6</v>
      </c>
      <c r="E39"/>
      <c r="F39"/>
      <c r="G39"/>
      <c r="H39" s="120"/>
      <c r="I39" s="120"/>
      <c r="J39" s="120"/>
      <c r="K39" s="120"/>
    </row>
    <row r="40" spans="1:11" ht="21" customHeight="1" thickBot="1">
      <c r="A40" s="471"/>
      <c r="B40" s="148" t="s">
        <v>362</v>
      </c>
      <c r="C40" s="347" t="str">
        <f>IF($M$14 = 0,"", $M$14)</f>
        <v/>
      </c>
      <c r="D40" s="151" t="str">
        <f>-2+$L$14 &amp; IF($I$14 =0,"","+" &amp; $I$14 &amp; "d" &amp; $K$14)</f>
        <v>16+4d6</v>
      </c>
      <c r="E40"/>
      <c r="F40"/>
      <c r="G40"/>
      <c r="H40" s="120"/>
      <c r="I40" s="120"/>
      <c r="J40" s="120"/>
      <c r="K40" s="120"/>
    </row>
    <row r="41" spans="1:11" ht="21" customHeight="1">
      <c r="A41" s="455" t="s">
        <v>136</v>
      </c>
      <c r="B41" s="137" t="s">
        <v>361</v>
      </c>
      <c r="C41" s="335" t="str">
        <f>IF($M$13 = 0,"", $M$13)</f>
        <v/>
      </c>
      <c r="D41" s="57" t="str">
        <f>$L$13 &amp; "+" &amp; $I$13 &amp; "d" &amp; $K$13</f>
        <v>12+1d6</v>
      </c>
      <c r="E41"/>
      <c r="F41"/>
      <c r="G41"/>
      <c r="H41" s="120"/>
      <c r="I41" s="120"/>
      <c r="J41" s="120"/>
      <c r="K41" s="120"/>
    </row>
    <row r="42" spans="1:11" ht="21" customHeight="1" thickBot="1">
      <c r="A42" s="456"/>
      <c r="B42" s="304" t="s">
        <v>362</v>
      </c>
      <c r="C42" s="347" t="str">
        <f>IF($M$14 = 0,"", $M$14)</f>
        <v/>
      </c>
      <c r="D42" s="305" t="str">
        <f>$L$14 &amp; IF($I$14 = 0,"","+" &amp; $I$14 &amp; "d" &amp; $K$14)</f>
        <v>18+4d6</v>
      </c>
      <c r="E42"/>
      <c r="F42"/>
      <c r="G42"/>
      <c r="H42" s="120"/>
      <c r="I42" s="120"/>
      <c r="J42" s="120"/>
      <c r="K42" s="120"/>
    </row>
    <row r="43" spans="1:11" ht="8.25" customHeight="1">
      <c r="A43" s="472"/>
      <c r="B43" s="472"/>
      <c r="C43" s="472"/>
      <c r="D43" s="472"/>
      <c r="E43" s="472"/>
      <c r="F43" s="472"/>
      <c r="G43" s="472"/>
    </row>
    <row r="44" spans="1:11" ht="15" customHeight="1">
      <c r="A44" s="457" t="s">
        <v>263</v>
      </c>
      <c r="B44" s="457"/>
      <c r="C44" s="457"/>
      <c r="D44" s="457"/>
      <c r="E44" s="457"/>
      <c r="F44" s="457"/>
      <c r="G44" s="457"/>
      <c r="I44" s="120"/>
      <c r="J44" s="120"/>
      <c r="K44" s="120"/>
    </row>
    <row r="45" spans="1:11" ht="13.5" customHeight="1">
      <c r="A45" s="458" t="s">
        <v>264</v>
      </c>
      <c r="B45" s="458"/>
      <c r="C45" s="458"/>
      <c r="D45" s="458"/>
      <c r="E45" s="458"/>
      <c r="F45" s="458"/>
      <c r="G45" s="458"/>
    </row>
    <row r="46" spans="1:11" ht="13.5" customHeight="1">
      <c r="A46" s="458" t="s">
        <v>265</v>
      </c>
      <c r="B46" s="458"/>
      <c r="C46" s="458"/>
      <c r="D46" s="458"/>
      <c r="E46" s="458"/>
      <c r="F46" s="458"/>
      <c r="G46" s="458"/>
    </row>
    <row r="47" spans="1:11" ht="15" customHeight="1">
      <c r="A47" s="457" t="s">
        <v>355</v>
      </c>
      <c r="B47" s="457"/>
      <c r="C47" s="457"/>
      <c r="D47" s="457"/>
      <c r="E47" s="457"/>
      <c r="F47" s="457"/>
      <c r="G47" s="457"/>
      <c r="I47" s="120"/>
      <c r="J47" s="120"/>
      <c r="K47" s="120"/>
    </row>
    <row r="48" spans="1:11" ht="13.5" customHeight="1">
      <c r="A48" s="458" t="s">
        <v>356</v>
      </c>
      <c r="B48" s="458"/>
      <c r="C48" s="458"/>
      <c r="D48" s="458"/>
      <c r="E48" s="458"/>
      <c r="F48" s="458"/>
      <c r="G48" s="458"/>
    </row>
    <row r="49" spans="1:12" ht="13.5" customHeight="1">
      <c r="A49" s="458" t="s">
        <v>357</v>
      </c>
      <c r="B49" s="458"/>
      <c r="C49" s="458"/>
      <c r="D49" s="458"/>
      <c r="E49" s="458"/>
      <c r="F49" s="458"/>
      <c r="G49" s="458"/>
    </row>
    <row r="50" spans="1:12" ht="15" customHeight="1">
      <c r="A50" s="457" t="s">
        <v>324</v>
      </c>
      <c r="B50" s="457"/>
      <c r="C50" s="457"/>
      <c r="D50" s="457"/>
      <c r="E50" s="457"/>
      <c r="F50" s="457"/>
      <c r="G50" s="457"/>
      <c r="I50" s="120"/>
      <c r="J50" s="120"/>
      <c r="K50" s="120"/>
    </row>
    <row r="51" spans="1:12" ht="13.5" customHeight="1">
      <c r="A51" s="490" t="s">
        <v>405</v>
      </c>
      <c r="B51" s="490"/>
      <c r="C51" s="490"/>
      <c r="D51" s="490"/>
      <c r="E51" s="490"/>
      <c r="F51" s="490"/>
      <c r="G51" s="490"/>
    </row>
    <row r="52" spans="1:12" ht="9" customHeight="1">
      <c r="A52" s="457"/>
      <c r="B52" s="457"/>
      <c r="C52" s="457"/>
      <c r="D52" s="457"/>
      <c r="E52" s="457"/>
      <c r="F52" s="457"/>
      <c r="G52" s="457"/>
      <c r="I52" s="120"/>
      <c r="J52" s="120"/>
      <c r="K52" s="120"/>
    </row>
    <row r="53" spans="1:12" s="79" customFormat="1" ht="21">
      <c r="A53" s="85"/>
      <c r="B53" s="301"/>
      <c r="C53" s="86"/>
      <c r="D53" s="87"/>
      <c r="E53" s="465" t="str">
        <f>$B$2</f>
        <v>[素手]で行う主な攻撃　</v>
      </c>
      <c r="F53" s="466"/>
      <c r="G53" s="467"/>
      <c r="L53" s="120"/>
    </row>
    <row r="54" spans="1:12" s="79" customFormat="1" ht="13.5" customHeight="1">
      <c r="A54" s="120"/>
      <c r="B54" s="120"/>
      <c r="C54" s="120"/>
      <c r="D54" s="120"/>
      <c r="L54" s="120"/>
    </row>
    <row r="55" spans="1:12" s="79" customFormat="1" ht="13.5" customHeight="1">
      <c r="A55" s="120"/>
      <c r="B55" s="120"/>
      <c r="C55" s="120"/>
      <c r="D55" s="120"/>
      <c r="L55" s="120"/>
    </row>
    <row r="56" spans="1:12" s="79" customFormat="1">
      <c r="A56" s="120"/>
      <c r="B56" s="120"/>
      <c r="C56" s="120"/>
      <c r="D56" s="120"/>
      <c r="L56" s="120"/>
    </row>
  </sheetData>
  <mergeCells count="55">
    <mergeCell ref="N4:S4"/>
    <mergeCell ref="P9:Q9"/>
    <mergeCell ref="P11:Q11"/>
    <mergeCell ref="B5:D5"/>
    <mergeCell ref="F5:G5"/>
    <mergeCell ref="B7:G7"/>
    <mergeCell ref="H4:M4"/>
    <mergeCell ref="B6:D6"/>
    <mergeCell ref="B8:G8"/>
    <mergeCell ref="B9:G9"/>
    <mergeCell ref="B11:G11"/>
    <mergeCell ref="A32:G32"/>
    <mergeCell ref="B1:C1"/>
    <mergeCell ref="F1:G1"/>
    <mergeCell ref="B2:G2"/>
    <mergeCell ref="B4:G4"/>
    <mergeCell ref="B22:G22"/>
    <mergeCell ref="B19:G19"/>
    <mergeCell ref="B20:G20"/>
    <mergeCell ref="B17:G17"/>
    <mergeCell ref="B18:G18"/>
    <mergeCell ref="B21:G21"/>
    <mergeCell ref="B26:G26"/>
    <mergeCell ref="B27:D27"/>
    <mergeCell ref="B30:G30"/>
    <mergeCell ref="B31:G31"/>
    <mergeCell ref="B23:G23"/>
    <mergeCell ref="B24:G24"/>
    <mergeCell ref="J9:K9"/>
    <mergeCell ref="B10:G10"/>
    <mergeCell ref="J11:K11"/>
    <mergeCell ref="B12:G12"/>
    <mergeCell ref="B13:G13"/>
    <mergeCell ref="B16:G16"/>
    <mergeCell ref="B15:G15"/>
    <mergeCell ref="B14:G14"/>
    <mergeCell ref="E53:G53"/>
    <mergeCell ref="A52:G52"/>
    <mergeCell ref="A50:G50"/>
    <mergeCell ref="A51:G51"/>
    <mergeCell ref="A48:G48"/>
    <mergeCell ref="A49:G49"/>
    <mergeCell ref="A47:G47"/>
    <mergeCell ref="A34:C34"/>
    <mergeCell ref="A35:A38"/>
    <mergeCell ref="A39:A40"/>
    <mergeCell ref="A41:A42"/>
    <mergeCell ref="A43:G43"/>
    <mergeCell ref="A44:G44"/>
    <mergeCell ref="A45:G45"/>
    <mergeCell ref="A46:G46"/>
    <mergeCell ref="B37:C37"/>
    <mergeCell ref="B38:C38"/>
    <mergeCell ref="B35:C35"/>
    <mergeCell ref="B36:C36"/>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基本!$D$27:$D$31</xm:f>
          </x14:formula1>
          <xm:sqref>I7</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S67"/>
  <sheetViews>
    <sheetView zoomScaleNormal="100" workbookViewId="0">
      <selection activeCell="B2" sqref="B2:G2"/>
    </sheetView>
  </sheetViews>
  <sheetFormatPr defaultRowHeight="13.5"/>
  <cols>
    <col min="1" max="1" width="7.875" style="120" customWidth="1"/>
    <col min="2" max="2" width="8.5" style="120" customWidth="1"/>
    <col min="3" max="3" width="6.625" style="120" customWidth="1"/>
    <col min="4" max="4" width="15.75" style="120" customWidth="1"/>
    <col min="5" max="6" width="15.75" style="79" customWidth="1"/>
    <col min="7" max="7" width="18.25" style="79" customWidth="1"/>
    <col min="8" max="8" width="17.375" style="79" customWidth="1"/>
    <col min="9" max="9" width="14.625" style="79" customWidth="1"/>
    <col min="10" max="10" width="8.375" style="79" customWidth="1"/>
    <col min="11" max="11" width="7.5" style="79" customWidth="1"/>
    <col min="12" max="12" width="7.875" style="120" customWidth="1"/>
    <col min="13" max="13" width="9.25" style="120" customWidth="1"/>
    <col min="14" max="14" width="12.375" style="120" customWidth="1"/>
    <col min="15" max="16384" width="9" style="120"/>
  </cols>
  <sheetData>
    <row r="1" spans="1:19" ht="21">
      <c r="A1" s="81" t="s">
        <v>118</v>
      </c>
      <c r="B1" s="485">
        <v>1</v>
      </c>
      <c r="C1" s="486"/>
      <c r="D1" s="83" t="s">
        <v>40</v>
      </c>
      <c r="E1" s="82" t="s">
        <v>41</v>
      </c>
      <c r="F1" s="487"/>
      <c r="G1" s="488"/>
      <c r="H1" s="84" t="s">
        <v>55</v>
      </c>
    </row>
    <row r="2" spans="1:19" ht="24.75" customHeight="1">
      <c r="A2" s="83" t="s">
        <v>0</v>
      </c>
      <c r="B2" s="489" t="s">
        <v>411</v>
      </c>
      <c r="C2" s="489"/>
      <c r="D2" s="489"/>
      <c r="E2" s="489"/>
      <c r="F2" s="489"/>
      <c r="G2" s="489"/>
      <c r="H2" s="84" t="s">
        <v>56</v>
      </c>
    </row>
    <row r="3" spans="1:19" ht="19.5" customHeight="1">
      <c r="A3" s="90" t="s">
        <v>48</v>
      </c>
      <c r="B3" s="79"/>
      <c r="C3" s="79"/>
      <c r="D3" s="79"/>
      <c r="I3" s="84"/>
    </row>
    <row r="4" spans="1:19">
      <c r="A4" s="67" t="s">
        <v>46</v>
      </c>
      <c r="B4" s="480" t="s">
        <v>288</v>
      </c>
      <c r="C4" s="481"/>
      <c r="D4" s="481"/>
      <c r="E4" s="481"/>
      <c r="F4" s="481"/>
      <c r="G4" s="482"/>
      <c r="H4" s="394" t="s">
        <v>646</v>
      </c>
      <c r="I4" s="395"/>
      <c r="J4" s="395"/>
      <c r="K4" s="395"/>
      <c r="L4" s="395"/>
      <c r="M4" s="396"/>
      <c r="N4" s="394" t="s">
        <v>646</v>
      </c>
      <c r="O4" s="395"/>
      <c r="P4" s="395"/>
      <c r="Q4" s="395"/>
      <c r="R4" s="395"/>
      <c r="S4" s="396"/>
    </row>
    <row r="5" spans="1:19">
      <c r="A5" s="68" t="s">
        <v>39</v>
      </c>
      <c r="B5" s="480" t="s">
        <v>172</v>
      </c>
      <c r="C5" s="481"/>
      <c r="D5" s="481"/>
      <c r="E5" s="481"/>
      <c r="F5" s="481"/>
      <c r="G5" s="482"/>
      <c r="H5" s="324" t="s">
        <v>43</v>
      </c>
      <c r="I5" s="325" t="s">
        <v>69</v>
      </c>
      <c r="J5" s="325" t="s">
        <v>100</v>
      </c>
      <c r="N5" s="324" t="s">
        <v>43</v>
      </c>
      <c r="O5" s="325" t="s">
        <v>71</v>
      </c>
      <c r="P5" s="325" t="s">
        <v>100</v>
      </c>
      <c r="Q5" s="79"/>
    </row>
    <row r="6" spans="1:19">
      <c r="A6" s="68" t="s">
        <v>7</v>
      </c>
      <c r="B6" s="480" t="s">
        <v>5</v>
      </c>
      <c r="C6" s="481"/>
      <c r="D6" s="482"/>
      <c r="E6" s="157" t="s">
        <v>43</v>
      </c>
      <c r="F6" s="156" t="str">
        <f>$I$5</f>
        <v>近接</v>
      </c>
      <c r="G6" s="156" t="str">
        <f>IF($J$5 = 0,"", $J$5)</f>
        <v>武器</v>
      </c>
      <c r="H6" s="324" t="s">
        <v>66</v>
      </c>
      <c r="I6" s="325"/>
      <c r="J6" s="325"/>
      <c r="N6" s="324" t="s">
        <v>66</v>
      </c>
      <c r="O6" s="325"/>
      <c r="P6" s="325"/>
      <c r="Q6" s="79"/>
    </row>
    <row r="7" spans="1:19">
      <c r="A7" s="69" t="s">
        <v>6</v>
      </c>
      <c r="B7" s="480" t="s">
        <v>91</v>
      </c>
      <c r="C7" s="481"/>
      <c r="D7" s="482"/>
      <c r="E7" s="157" t="s">
        <v>66</v>
      </c>
      <c r="F7" s="156" t="str">
        <f>IF($I$6 = 0,"", $I$6)</f>
        <v/>
      </c>
      <c r="G7" s="156" t="str">
        <f>IF($J$6 = 0,"", $J$6)</f>
        <v/>
      </c>
      <c r="H7" s="324" t="s">
        <v>85</v>
      </c>
      <c r="I7" s="332" t="s">
        <v>116</v>
      </c>
      <c r="J7" s="84" t="s">
        <v>62</v>
      </c>
      <c r="L7" s="176" t="s">
        <v>318</v>
      </c>
      <c r="N7" s="324" t="s">
        <v>85</v>
      </c>
      <c r="O7" s="325" t="s">
        <v>640</v>
      </c>
      <c r="P7" s="84" t="s">
        <v>62</v>
      </c>
      <c r="Q7" s="79"/>
      <c r="R7" s="176" t="s">
        <v>318</v>
      </c>
    </row>
    <row r="8" spans="1:19">
      <c r="A8" s="69" t="s">
        <v>8</v>
      </c>
      <c r="B8" s="534" t="s">
        <v>276</v>
      </c>
      <c r="C8" s="535"/>
      <c r="D8" s="535"/>
      <c r="E8" s="535"/>
      <c r="F8" s="535"/>
      <c r="G8" s="536"/>
      <c r="H8" s="324" t="s">
        <v>51</v>
      </c>
      <c r="I8" s="325" t="s">
        <v>12</v>
      </c>
      <c r="J8" s="323">
        <f>IF($I$8 = "筋力",基本!$C$5,IF($I$8 = "耐久力",基本!$C$6,IF($I$8 = "敏捷力",基本!$C$7,IF($I$8 = "知力",基本!$C$8,IF($I$8 = "判断力",基本!$C$9,IF($I$8 = "魅力",基本!$C$10,""))))))</f>
        <v>6</v>
      </c>
      <c r="K8" s="325" t="s">
        <v>90</v>
      </c>
      <c r="L8" s="177">
        <f>$J$8+$L$9+$I$9</f>
        <v>22</v>
      </c>
      <c r="N8" s="324" t="s">
        <v>51</v>
      </c>
      <c r="O8" s="325" t="s">
        <v>12</v>
      </c>
      <c r="P8" s="323">
        <f>IF(O8="",0,VLOOKUP(O8,基本!$A$5:'基本'!$C$10,3,FALSE))</f>
        <v>6</v>
      </c>
      <c r="Q8" s="325" t="s">
        <v>90</v>
      </c>
      <c r="R8" s="177">
        <f>$P$8+$O$9+$R$9</f>
        <v>22</v>
      </c>
    </row>
    <row r="9" spans="1:19" ht="14.25" customHeight="1">
      <c r="A9" s="71" t="s">
        <v>9</v>
      </c>
      <c r="B9" s="474" t="s">
        <v>277</v>
      </c>
      <c r="C9" s="475"/>
      <c r="D9" s="475"/>
      <c r="E9" s="475"/>
      <c r="F9" s="475"/>
      <c r="G9" s="476"/>
      <c r="H9" s="324" t="s">
        <v>58</v>
      </c>
      <c r="I9" s="325">
        <v>0</v>
      </c>
      <c r="J9" s="394" t="s">
        <v>53</v>
      </c>
      <c r="K9" s="396"/>
      <c r="L9" s="323">
        <f>IF($I$7=基本!$F$4,基本!$P$7,IF($I$7=基本!$F$13,基本!$P$16,IF($I$7=基本!$F$22,基本!$P$25,IF($I$7=基本!$F$31,基本!$P$34,IF($I$7=基本!$F$40,基本!$P$43,0)))))</f>
        <v>16</v>
      </c>
      <c r="N9" s="324" t="s">
        <v>58</v>
      </c>
      <c r="O9" s="325">
        <v>0</v>
      </c>
      <c r="P9" s="394" t="s">
        <v>53</v>
      </c>
      <c r="Q9" s="396"/>
      <c r="R9" s="323">
        <f>IF($O$7=基本!$F$4,基本!$P$7,IF($O$7=基本!$F$13,基本!$P$16,IF($O$7=基本!$F$22,基本!$P$25,IF($O$7=基本!$F$31,基本!$P$34,IF($O$7=基本!$F$40,基本!$P$43,0)))))</f>
        <v>16</v>
      </c>
    </row>
    <row r="10" spans="1:19" ht="14.25" customHeight="1">
      <c r="A10" s="71"/>
      <c r="B10" s="505" t="s">
        <v>278</v>
      </c>
      <c r="C10" s="506"/>
      <c r="D10" s="506"/>
      <c r="E10" s="506"/>
      <c r="F10" s="506"/>
      <c r="G10" s="507"/>
      <c r="H10" s="326" t="s">
        <v>52</v>
      </c>
      <c r="I10" s="325" t="s">
        <v>12</v>
      </c>
      <c r="J10" s="88">
        <f>IF(I10 = "筋力",基本!$C$5,IF(I10 = "耐久力",基本!$C$6,IF(I10 = "敏捷力",基本!$C$7,IF(I10 = "知力",基本!$C$8,IF(I10 = "判断力",基本!$C$9,IF(I10 = "魅力",基本!$C$10,""))))))</f>
        <v>6</v>
      </c>
      <c r="K10" s="325" t="s">
        <v>16</v>
      </c>
      <c r="L10" s="88">
        <f>IF(K10 = "筋力",基本!$C$5,IF(K10 = "耐久力",基本!$C$6,IF(K10 = "敏捷力",基本!$C$7,IF(K10 = "知力",基本!$C$8,IF(K10 = "判断力",基本!$C$9,IF(K10 = "魅力",基本!$C$10,""))))))</f>
        <v>6</v>
      </c>
      <c r="N10" s="326" t="s">
        <v>52</v>
      </c>
      <c r="O10" s="325" t="s">
        <v>12</v>
      </c>
      <c r="P10" s="88">
        <f>IF(O10 = "筋力",基本!$C$5,IF(O10 = "耐久力",基本!$C$6,IF(O10 = "敏捷力",基本!$C$7,IF(O10 = "知力",基本!$C$8,IF(O10 = "判断力",基本!$C$9,IF(O10 = "魅力",基本!$C$10,""))))))</f>
        <v>6</v>
      </c>
      <c r="Q10" s="325" t="s">
        <v>16</v>
      </c>
      <c r="R10" s="88">
        <f>IF(Q10 = "筋力",基本!$C$5,IF(Q10 = "耐久力",基本!$C$6,IF(Q10 = "敏捷力",基本!$C$7,IF(Q10 = "知力",基本!$C$8,IF(Q10 = "判断力",基本!$C$9,IF(Q10 = "魅力",基本!$C$10,""))))))</f>
        <v>6</v>
      </c>
    </row>
    <row r="11" spans="1:19" ht="14.25" customHeight="1">
      <c r="A11" s="69" t="s">
        <v>61</v>
      </c>
      <c r="B11" s="534" t="s">
        <v>302</v>
      </c>
      <c r="C11" s="535"/>
      <c r="D11" s="535"/>
      <c r="E11" s="535"/>
      <c r="F11" s="535"/>
      <c r="G11" s="536"/>
      <c r="H11" s="324" t="s">
        <v>59</v>
      </c>
      <c r="I11" s="325">
        <v>0</v>
      </c>
      <c r="J11" s="394" t="s">
        <v>54</v>
      </c>
      <c r="K11" s="396"/>
      <c r="L11" s="323">
        <f>IF($I$7=基本!$F$4,基本!$P$9,IF($I$7=基本!$F$13,基本!$P$18,IF($I$7=基本!$F$22,基本!$P$27,IF($I$7=基本!$F$31,基本!$P$36,IF($I$7=基本!$F$40,基本!$P$45,0)))))</f>
        <v>6</v>
      </c>
      <c r="N11" s="324" t="s">
        <v>59</v>
      </c>
      <c r="O11" s="325">
        <v>0</v>
      </c>
      <c r="P11" s="394" t="s">
        <v>643</v>
      </c>
      <c r="Q11" s="396"/>
      <c r="R11" s="323">
        <f>IF($O$7=基本!$F$4,基本!$P$9,IF($O$7=基本!$F$13,基本!$P$18,IF($O$7=基本!$F$22,基本!$P$27,IF($O$7=基本!$F$31,基本!$P$36,IF($O$7=基本!$F$40,基本!$P$45,0)))))</f>
        <v>6</v>
      </c>
    </row>
    <row r="12" spans="1:19">
      <c r="A12" s="71" t="s">
        <v>301</v>
      </c>
      <c r="B12" s="505" t="s">
        <v>300</v>
      </c>
      <c r="C12" s="506"/>
      <c r="D12" s="506"/>
      <c r="E12" s="506"/>
      <c r="F12" s="506"/>
      <c r="G12" s="507"/>
      <c r="H12" s="327" t="s">
        <v>319</v>
      </c>
      <c r="I12" s="325">
        <v>1</v>
      </c>
      <c r="J12" s="120"/>
      <c r="K12" s="120"/>
      <c r="L12" s="176" t="s">
        <v>318</v>
      </c>
      <c r="M12" s="334" t="s">
        <v>60</v>
      </c>
      <c r="N12" s="327" t="s">
        <v>319</v>
      </c>
      <c r="O12" s="325">
        <v>1</v>
      </c>
      <c r="R12" s="176" t="s">
        <v>318</v>
      </c>
      <c r="S12" s="334" t="s">
        <v>60</v>
      </c>
    </row>
    <row r="13" spans="1:19" ht="2.25" customHeight="1">
      <c r="A13" s="71"/>
      <c r="B13" s="483"/>
      <c r="C13" s="472"/>
      <c r="D13" s="472"/>
      <c r="E13" s="472"/>
      <c r="F13" s="472"/>
      <c r="G13" s="484"/>
      <c r="H13" s="327" t="s">
        <v>86</v>
      </c>
      <c r="I13" s="32">
        <f>IF($I$7=基本!$F$4,基本!$F$9,IF($I$7=基本!$F$13,基本!$F$18,IF($I$7=基本!$F$22,基本!$F$27,IF($I$7=基本!$F$31,基本!$F$36,IF($I$7=基本!$F$40,基本!$F$45,0)))))*$I$12</f>
        <v>1</v>
      </c>
      <c r="J13" s="324" t="s">
        <v>44</v>
      </c>
      <c r="K13" s="32">
        <f>IF($I$7=基本!$F$4,基本!$H$9,IF($I$7=基本!$F$13,基本!$H$18,IF($I$7=基本!$F$22,基本!$H$27,IF($I$7=基本!$F$31,基本!$H$36,IF($I$7=基本!$F$40,基本!$H$45,0)))))</f>
        <v>10</v>
      </c>
      <c r="L13" s="177">
        <f>$J$10+$L$11+$I$11</f>
        <v>12</v>
      </c>
      <c r="M13" s="325"/>
      <c r="N13" s="327" t="s">
        <v>644</v>
      </c>
      <c r="O13" s="42">
        <f>IF($O$7=基本!$F$4,基本!$F$9,IF($O$7=基本!$F$13,基本!$F$18,IF($O$7=基本!$F$22,基本!$F$27,IF($O$7=基本!$F$31,基本!$F$36,IF($O$7=基本!$F$40,基本!$F$45,0)))))*$O$12</f>
        <v>1</v>
      </c>
      <c r="P13" s="324" t="s">
        <v>645</v>
      </c>
      <c r="Q13" s="42">
        <f>IF($O$7=基本!$F$4,基本!$H$9,IF($O$7=基本!$F$13,基本!$H$18,IF($O$7=基本!$F$22,基本!$H$27,IF($O$7=基本!$F$31,基本!$H$36,IF($O$7=基本!$F$40,基本!$H$45,0)))))</f>
        <v>6</v>
      </c>
      <c r="R13" s="177">
        <f>$P$10+$O$11+$R$11</f>
        <v>12</v>
      </c>
      <c r="S13" s="325"/>
    </row>
    <row r="14" spans="1:19" ht="2.25" customHeight="1">
      <c r="A14" s="92"/>
      <c r="B14" s="537"/>
      <c r="C14" s="538"/>
      <c r="D14" s="538"/>
      <c r="E14" s="538"/>
      <c r="F14" s="538"/>
      <c r="G14" s="539"/>
      <c r="H14" s="324" t="s">
        <v>50</v>
      </c>
      <c r="I14" s="32">
        <f>IF($I$7=基本!$F$4,基本!$L$11,IF($I$7=基本!$F$13,基本!$L$20,IF($I$7=基本!$F$22,基本!$L$29,IF($I$7=基本!$F$31,基本!$L$38,IF($I$7=基本!$F$40,基本!$L$47,0)))))</f>
        <v>4</v>
      </c>
      <c r="J14" s="324" t="s">
        <v>44</v>
      </c>
      <c r="K14" s="32">
        <f>IF($I$7=基本!$F$4,基本!$N$11,IF($I$7=基本!$F$13,基本!$N$20,IF($I$7=基本!$F$22,基本!$N$29,IF($I$7=基本!$F$31,基本!$N$38,IF($I$7=基本!$F$40,基本!$N$47,0)))))</f>
        <v>8</v>
      </c>
      <c r="L14" s="177">
        <f>$J$10+$L$11+$I$11+($I$13*$K$13)</f>
        <v>22</v>
      </c>
      <c r="M14" s="325"/>
      <c r="N14" s="324" t="s">
        <v>50</v>
      </c>
      <c r="O14" s="42">
        <f>IF($O$7=基本!$F$4,基本!$L$11,IF($O$7=基本!$F$13,基本!$L$20,IF($O$7=基本!$F$22,基本!$L$29,IF($O$7=基本!$F$31,基本!$L$38,IF($O$7=基本!$F$40,基本!$L$47,0)))))</f>
        <v>4</v>
      </c>
      <c r="P14" s="324" t="s">
        <v>645</v>
      </c>
      <c r="Q14" s="42">
        <f>IF($O$7=基本!$F$4,基本!$N$11,IF($O$7=基本!$F$13,基本!$N$20,IF($O$7=基本!$F$22,基本!$N$29,IF($O$7=基本!$F$31,基本!$N$38,IF($O$7=基本!$F$40,基本!$N$47,0)))))</f>
        <v>6</v>
      </c>
      <c r="R14" s="177">
        <f>$P$10+$R$11+$O$11+($O$13*$Q$13)</f>
        <v>18</v>
      </c>
      <c r="S14" s="325"/>
    </row>
    <row r="15" spans="1:19" ht="2.25" customHeight="1">
      <c r="A15" s="71"/>
      <c r="B15" s="505"/>
      <c r="C15" s="506"/>
      <c r="D15" s="506"/>
      <c r="E15" s="506"/>
      <c r="F15" s="506"/>
      <c r="G15" s="507"/>
      <c r="H15" s="120"/>
      <c r="I15" s="120"/>
      <c r="J15" s="120"/>
      <c r="K15" s="120"/>
    </row>
    <row r="16" spans="1:19" ht="2.25" customHeight="1">
      <c r="A16" s="72"/>
      <c r="B16" s="452"/>
      <c r="C16" s="453"/>
      <c r="D16" s="453"/>
      <c r="E16" s="453"/>
      <c r="F16" s="453"/>
      <c r="G16" s="454"/>
      <c r="H16" s="120"/>
      <c r="I16" s="120"/>
      <c r="J16" s="120"/>
      <c r="K16" s="120"/>
    </row>
    <row r="17" spans="1:11" ht="14.25" thickBot="1">
      <c r="A17" s="113" t="s">
        <v>47</v>
      </c>
      <c r="E17" s="80"/>
      <c r="H17" s="120"/>
      <c r="I17" s="120"/>
      <c r="J17" s="120"/>
      <c r="K17" s="120"/>
    </row>
    <row r="18" spans="1:11" ht="18.75" customHeight="1" thickBot="1">
      <c r="A18" s="468" t="str">
        <f>$B$2</f>
        <v>ウォーデンズ・ランジ</v>
      </c>
      <c r="B18" s="469"/>
      <c r="C18" s="469"/>
      <c r="D18" s="65" t="s">
        <v>2</v>
      </c>
      <c r="E18" s="165" t="s">
        <v>104</v>
      </c>
      <c r="F18" s="65" t="s">
        <v>525</v>
      </c>
      <c r="G18" s="342" t="s">
        <v>652</v>
      </c>
      <c r="H18" s="120"/>
      <c r="I18" s="120"/>
      <c r="J18" s="120"/>
      <c r="K18" s="120"/>
    </row>
    <row r="19" spans="1:11" ht="21" customHeight="1">
      <c r="A19" s="459" t="s">
        <v>42</v>
      </c>
      <c r="B19" s="64" t="s">
        <v>117</v>
      </c>
      <c r="C19" s="462" t="s">
        <v>90</v>
      </c>
      <c r="D19" s="62" t="str">
        <f>$L$8 &amp; "+1d20"</f>
        <v>22+1d20</v>
      </c>
      <c r="E19" s="62" t="str">
        <f>$L$8+1 &amp; "+1d20"</f>
        <v>23+1d20</v>
      </c>
      <c r="F19" s="62" t="str">
        <f>$R$8 &amp; "+1d20"</f>
        <v>22+1d20</v>
      </c>
      <c r="G19" s="63" t="str">
        <f>1+$R$8 &amp; "+1d20"</f>
        <v>23+1d20</v>
      </c>
      <c r="H19" s="120"/>
      <c r="I19" s="120"/>
      <c r="J19" s="120"/>
      <c r="K19" s="120"/>
    </row>
    <row r="20" spans="1:11" ht="21" customHeight="1">
      <c r="A20" s="460"/>
      <c r="B20" s="201" t="s">
        <v>1</v>
      </c>
      <c r="C20" s="463"/>
      <c r="D20" s="203" t="str">
        <f>$L$8+2 &amp; "+1d20"</f>
        <v>24+1d20</v>
      </c>
      <c r="E20" s="203" t="str">
        <f>$L$8+1+2 &amp; "+1d20"</f>
        <v>25+1d20</v>
      </c>
      <c r="F20" s="203" t="str">
        <f>$R$8+2 &amp; "+1d20"</f>
        <v>24+1d20</v>
      </c>
      <c r="G20" s="204" t="str">
        <f>1+$R$8+2 &amp; "+1d20"</f>
        <v>25+1d20</v>
      </c>
      <c r="H20" s="120"/>
      <c r="I20" s="120"/>
      <c r="J20" s="120"/>
      <c r="K20" s="120"/>
    </row>
    <row r="21" spans="1:11" ht="21" customHeight="1">
      <c r="A21" s="460"/>
      <c r="B21" s="189" t="s">
        <v>409</v>
      </c>
      <c r="C21" s="463"/>
      <c r="D21" s="187" t="str">
        <f>3+$L$8 &amp; "+1d20"</f>
        <v>25+1d20</v>
      </c>
      <c r="E21" s="187" t="str">
        <f>3+$L$8+1 &amp; "+1d20"</f>
        <v>26+1d20</v>
      </c>
      <c r="F21" s="187" t="str">
        <f>3+$R$8 &amp; "+1d20"</f>
        <v>25+1d20</v>
      </c>
      <c r="G21" s="188" t="str">
        <f>1+3+$R$8 &amp; "+1d20"</f>
        <v>26+1d20</v>
      </c>
      <c r="H21" s="120"/>
      <c r="I21" s="120"/>
      <c r="J21" s="120"/>
      <c r="K21" s="120"/>
    </row>
    <row r="22" spans="1:11" ht="21" customHeight="1" thickBot="1">
      <c r="A22" s="461"/>
      <c r="B22" s="202" t="s">
        <v>1</v>
      </c>
      <c r="C22" s="464"/>
      <c r="D22" s="205" t="str">
        <f>3+$L$8+2 &amp; "+1d20"</f>
        <v>27+1d20</v>
      </c>
      <c r="E22" s="205" t="str">
        <f>3+$L$8+1+2 &amp; "+1d20"</f>
        <v>28+1d20</v>
      </c>
      <c r="F22" s="205" t="str">
        <f>3+$R$8+2 &amp; "+1d20"</f>
        <v>27+1d20</v>
      </c>
      <c r="G22" s="206" t="str">
        <f>1+3+$R$8+2 &amp; "+1d20"</f>
        <v>28+1d20</v>
      </c>
      <c r="H22" s="120"/>
      <c r="I22" s="120"/>
      <c r="J22" s="120"/>
      <c r="K22" s="120"/>
    </row>
    <row r="23" spans="1:11" ht="20.25" customHeight="1">
      <c r="A23" s="470" t="s">
        <v>360</v>
      </c>
      <c r="B23" s="137" t="s">
        <v>361</v>
      </c>
      <c r="C23" s="335" t="str">
        <f>IF($M$13 = 0,"", $M$13)</f>
        <v/>
      </c>
      <c r="D23" s="56" t="str">
        <f>-2+$L$13 &amp; "+" &amp; $I$13 &amp; "d" &amp; $K$13</f>
        <v>10+1d10</v>
      </c>
      <c r="E23" s="56" t="str">
        <f>-2+$L$13 &amp; "+" &amp; $I$13 &amp; "d" &amp; $K$13</f>
        <v>10+1d10</v>
      </c>
      <c r="F23" s="56" t="str">
        <f>-2+$R$13 &amp; "+" &amp; $O$13 &amp; "d" &amp; $Q$13</f>
        <v>10+1d6</v>
      </c>
      <c r="G23" s="57" t="str">
        <f>-2+$R$13 &amp; "+" &amp; $O$13 &amp; "d" &amp; $Q$13</f>
        <v>10+1d6</v>
      </c>
      <c r="H23" s="120"/>
      <c r="I23" s="120"/>
      <c r="J23" s="120"/>
      <c r="K23" s="120"/>
    </row>
    <row r="24" spans="1:11" ht="20.25" customHeight="1" thickBot="1">
      <c r="A24" s="471"/>
      <c r="B24" s="148" t="s">
        <v>362</v>
      </c>
      <c r="C24" s="347" t="str">
        <f>IF($M$14 = 0,"", $M$14)</f>
        <v/>
      </c>
      <c r="D24" s="150" t="str">
        <f>-2+$L$14 &amp; IF($I$14 =0,"","＆別の敵へ" &amp; $I$14 &amp; "d" &amp; $K$14)</f>
        <v>20＆別の敵へ4d8</v>
      </c>
      <c r="E24" s="150" t="str">
        <f t="shared" ref="E24" si="0">-2+$L$14 &amp; IF($I$14 =0,"","＆別の敵へ" &amp; $I$14 &amp; "d" &amp; $K$14)</f>
        <v>20＆別の敵へ4d8</v>
      </c>
      <c r="F24" s="150" t="str">
        <f>-2+$R$14 &amp; IF($O$14 = 0,"","+" &amp; $O$14 &amp; "d" &amp; $Q$14)</f>
        <v>16+4d6</v>
      </c>
      <c r="G24" s="305" t="str">
        <f>-2+$R$14 &amp; IF($O$14 = 0,"","+" &amp; $O$14 &amp; "d" &amp; $Q$14)</f>
        <v>16+4d6</v>
      </c>
      <c r="H24" s="120"/>
      <c r="I24" s="120"/>
      <c r="J24" s="120"/>
      <c r="K24" s="120"/>
    </row>
    <row r="25" spans="1:11" ht="20.25" customHeight="1">
      <c r="A25" s="455" t="s">
        <v>136</v>
      </c>
      <c r="B25" s="137" t="s">
        <v>361</v>
      </c>
      <c r="C25" s="335" t="str">
        <f>IF($M$13 = 0,"", $M$13)</f>
        <v/>
      </c>
      <c r="D25" s="56" t="str">
        <f>$L$13 &amp; "+" &amp; $I$13 &amp; "d" &amp; $K$13</f>
        <v>12+1d10</v>
      </c>
      <c r="E25" s="56" t="str">
        <f>$L$13 &amp; "+" &amp; $I$13 &amp; "d" &amp; $K$13</f>
        <v>12+1d10</v>
      </c>
      <c r="F25" s="56" t="str">
        <f>$R$13 &amp; "+" &amp; $O$13 &amp; "d" &amp; $Q$13</f>
        <v>12+1d6</v>
      </c>
      <c r="G25" s="57" t="str">
        <f>$R$13 &amp; "+" &amp; $O$13 &amp; "d" &amp; $Q$13</f>
        <v>12+1d6</v>
      </c>
      <c r="H25" s="120"/>
      <c r="I25" s="120"/>
      <c r="J25" s="120"/>
      <c r="K25" s="120"/>
    </row>
    <row r="26" spans="1:11" ht="20.25" customHeight="1" thickBot="1">
      <c r="A26" s="456"/>
      <c r="B26" s="304" t="s">
        <v>362</v>
      </c>
      <c r="C26" s="347" t="str">
        <f>IF($M$14 = 0,"", $M$14)</f>
        <v/>
      </c>
      <c r="D26" s="333" t="str">
        <f>$L$14 &amp; IF($I$14 =0,"","＆別の敵へ" &amp; $I$14 &amp; "d" &amp; $K$14)</f>
        <v>22＆別の敵へ4d8</v>
      </c>
      <c r="E26" s="333" t="str">
        <f t="shared" ref="E26" si="1">$L$14 &amp; IF($I$14 =0,"","＆別の敵へ" &amp; $I$14 &amp; "d" &amp; $K$14)</f>
        <v>22＆別の敵へ4d8</v>
      </c>
      <c r="F26" s="333" t="str">
        <f>$R$14 &amp; IF($O$14 = 0,"","+" &amp; $O$14 &amp; "d" &amp; $Q$14)</f>
        <v>18+4d6</v>
      </c>
      <c r="G26" s="305" t="str">
        <f>$R$14 &amp; IF($O$14 = 0,"","+" &amp; $O$14 &amp; "d" &amp; $Q$14)</f>
        <v>18+4d6</v>
      </c>
      <c r="H26" s="120"/>
      <c r="I26" s="120"/>
      <c r="J26" s="120"/>
      <c r="K26" s="120"/>
    </row>
    <row r="27" spans="1:11" ht="6.75" customHeight="1">
      <c r="A27" s="490"/>
      <c r="B27" s="490"/>
      <c r="C27" s="490"/>
      <c r="D27" s="490"/>
      <c r="E27" s="490"/>
      <c r="F27" s="490"/>
      <c r="G27" s="490"/>
    </row>
    <row r="28" spans="1:11" ht="15" customHeight="1">
      <c r="A28" s="457" t="s">
        <v>676</v>
      </c>
      <c r="B28" s="457"/>
      <c r="C28" s="457"/>
      <c r="D28" s="457"/>
      <c r="E28" s="457"/>
      <c r="F28" s="457"/>
      <c r="G28" s="457"/>
      <c r="H28" s="120"/>
      <c r="I28" s="120"/>
      <c r="J28" s="120"/>
      <c r="K28" s="120"/>
    </row>
    <row r="29" spans="1:11" ht="13.5" customHeight="1">
      <c r="A29" s="458" t="s">
        <v>677</v>
      </c>
      <c r="B29" s="458"/>
      <c r="C29" s="458"/>
      <c r="D29" s="458"/>
      <c r="E29" s="458"/>
      <c r="F29" s="458"/>
      <c r="G29" s="458"/>
    </row>
    <row r="30" spans="1:11" ht="15" customHeight="1">
      <c r="A30" s="457" t="s">
        <v>263</v>
      </c>
      <c r="B30" s="457"/>
      <c r="C30" s="457"/>
      <c r="D30" s="457"/>
      <c r="E30" s="457"/>
      <c r="F30" s="457"/>
      <c r="G30" s="457"/>
      <c r="I30" s="120"/>
      <c r="J30" s="120"/>
      <c r="K30" s="120"/>
    </row>
    <row r="31" spans="1:11" ht="13.5" customHeight="1">
      <c r="A31" s="458" t="s">
        <v>264</v>
      </c>
      <c r="B31" s="458"/>
      <c r="C31" s="458"/>
      <c r="D31" s="458"/>
      <c r="E31" s="458"/>
      <c r="F31" s="458"/>
      <c r="G31" s="458"/>
    </row>
    <row r="32" spans="1:11" ht="13.5" customHeight="1">
      <c r="A32" s="458" t="s">
        <v>265</v>
      </c>
      <c r="B32" s="458"/>
      <c r="C32" s="458"/>
      <c r="D32" s="458"/>
      <c r="E32" s="458"/>
      <c r="F32" s="458"/>
      <c r="G32" s="458"/>
    </row>
    <row r="33" spans="1:11" ht="15" customHeight="1">
      <c r="A33" s="457" t="s">
        <v>655</v>
      </c>
      <c r="B33" s="457"/>
      <c r="C33" s="457"/>
      <c r="D33" s="457"/>
      <c r="E33" s="457"/>
      <c r="F33" s="457"/>
      <c r="G33" s="457"/>
      <c r="I33" s="120"/>
      <c r="J33" s="120"/>
      <c r="K33" s="120"/>
    </row>
    <row r="34" spans="1:11" ht="13.5" customHeight="1">
      <c r="A34" s="473" t="s">
        <v>687</v>
      </c>
      <c r="B34" s="458"/>
      <c r="C34" s="458"/>
      <c r="D34" s="458"/>
      <c r="E34" s="458"/>
      <c r="F34" s="458"/>
      <c r="G34" s="458"/>
    </row>
    <row r="35" spans="1:11" ht="15" customHeight="1">
      <c r="A35" s="457" t="s">
        <v>497</v>
      </c>
      <c r="B35" s="457"/>
      <c r="C35" s="457"/>
      <c r="D35" s="457"/>
      <c r="E35" s="457"/>
      <c r="F35" s="457"/>
      <c r="G35" s="457"/>
      <c r="I35" s="120"/>
      <c r="J35" s="120"/>
      <c r="K35" s="120"/>
    </row>
    <row r="36" spans="1:11" ht="13.5" customHeight="1">
      <c r="A36" s="458" t="s">
        <v>498</v>
      </c>
      <c r="B36" s="458"/>
      <c r="C36" s="458"/>
      <c r="D36" s="458"/>
      <c r="E36" s="458"/>
      <c r="F36" s="458"/>
      <c r="G36" s="458"/>
    </row>
    <row r="37" spans="1:11" ht="13.5" customHeight="1">
      <c r="A37" s="458" t="s">
        <v>412</v>
      </c>
      <c r="B37" s="458"/>
      <c r="C37" s="458"/>
      <c r="D37" s="458"/>
      <c r="E37" s="458"/>
      <c r="F37" s="458"/>
      <c r="G37" s="458"/>
    </row>
    <row r="38" spans="1:11" ht="13.5" customHeight="1">
      <c r="A38" s="458" t="s">
        <v>413</v>
      </c>
      <c r="B38" s="458"/>
      <c r="C38" s="458"/>
      <c r="D38" s="458"/>
      <c r="E38" s="458"/>
      <c r="F38" s="458"/>
      <c r="G38" s="458"/>
    </row>
    <row r="39" spans="1:11" ht="13.5" customHeight="1">
      <c r="A39" s="473" t="s">
        <v>499</v>
      </c>
      <c r="B39" s="458"/>
      <c r="C39" s="458"/>
      <c r="D39" s="458"/>
      <c r="E39" s="458"/>
      <c r="F39" s="458"/>
      <c r="G39" s="458"/>
    </row>
    <row r="40" spans="1:11" ht="13.5" customHeight="1">
      <c r="A40" s="473" t="s">
        <v>500</v>
      </c>
      <c r="B40" s="458"/>
      <c r="C40" s="458"/>
      <c r="D40" s="458"/>
      <c r="E40" s="458"/>
      <c r="F40" s="458"/>
      <c r="G40" s="458"/>
    </row>
    <row r="41" spans="1:11" ht="15" customHeight="1">
      <c r="A41" s="457" t="s">
        <v>322</v>
      </c>
      <c r="B41" s="457"/>
      <c r="C41" s="457"/>
      <c r="D41" s="457"/>
      <c r="E41" s="457"/>
      <c r="F41" s="457"/>
      <c r="G41" s="457"/>
      <c r="I41" s="120"/>
      <c r="J41" s="120"/>
      <c r="K41" s="120"/>
    </row>
    <row r="42" spans="1:11" ht="13.5" customHeight="1">
      <c r="A42" s="490" t="s">
        <v>359</v>
      </c>
      <c r="B42" s="490"/>
      <c r="C42" s="490"/>
      <c r="D42" s="490"/>
      <c r="E42" s="490"/>
      <c r="F42" s="490"/>
      <c r="G42" s="490"/>
    </row>
    <row r="43" spans="1:11" ht="13.5" customHeight="1">
      <c r="A43" s="458" t="s">
        <v>323</v>
      </c>
      <c r="B43" s="458"/>
      <c r="C43" s="458"/>
      <c r="D43" s="458"/>
      <c r="E43" s="458"/>
      <c r="F43" s="458"/>
      <c r="G43" s="458"/>
    </row>
    <row r="44" spans="1:11" ht="7.5" customHeight="1">
      <c r="A44" s="453"/>
      <c r="B44" s="453"/>
      <c r="C44" s="453"/>
      <c r="D44" s="453"/>
      <c r="E44" s="453"/>
      <c r="F44" s="453"/>
      <c r="G44" s="453"/>
    </row>
    <row r="45" spans="1:11" ht="13.5" customHeight="1">
      <c r="A45" s="531" t="s">
        <v>49</v>
      </c>
      <c r="B45" s="532"/>
      <c r="C45" s="532"/>
      <c r="D45" s="532"/>
      <c r="E45" s="532"/>
      <c r="F45" s="532"/>
      <c r="G45" s="533"/>
    </row>
    <row r="46" spans="1:11" ht="6.75" customHeight="1">
      <c r="A46" s="529"/>
      <c r="B46" s="457"/>
      <c r="C46" s="457"/>
      <c r="D46" s="457"/>
      <c r="E46" s="457"/>
      <c r="F46" s="457"/>
      <c r="G46" s="530"/>
    </row>
    <row r="47" spans="1:11" ht="13.5" customHeight="1">
      <c r="A47" s="523" t="s">
        <v>508</v>
      </c>
      <c r="B47" s="524"/>
      <c r="C47" s="524"/>
      <c r="D47" s="524"/>
      <c r="E47" s="524"/>
      <c r="F47" s="524"/>
      <c r="G47" s="525"/>
    </row>
    <row r="48" spans="1:11" ht="13.5" customHeight="1">
      <c r="A48" s="523" t="s">
        <v>406</v>
      </c>
      <c r="B48" s="524"/>
      <c r="C48" s="524"/>
      <c r="D48" s="524"/>
      <c r="E48" s="524"/>
      <c r="F48" s="524"/>
      <c r="G48" s="525"/>
      <c r="I48" s="120"/>
      <c r="J48" s="120"/>
      <c r="K48" s="120"/>
    </row>
    <row r="49" spans="1:12" ht="13.5" customHeight="1">
      <c r="A49" s="523" t="s">
        <v>207</v>
      </c>
      <c r="B49" s="524"/>
      <c r="C49" s="524"/>
      <c r="D49" s="524"/>
      <c r="E49" s="524"/>
      <c r="F49" s="524"/>
      <c r="G49" s="525"/>
    </row>
    <row r="50" spans="1:12" ht="13.5" customHeight="1">
      <c r="A50" s="523" t="s">
        <v>407</v>
      </c>
      <c r="B50" s="524"/>
      <c r="C50" s="524"/>
      <c r="D50" s="524"/>
      <c r="E50" s="524"/>
      <c r="F50" s="524"/>
      <c r="G50" s="525"/>
    </row>
    <row r="51" spans="1:12" ht="8.25" customHeight="1">
      <c r="A51" s="526"/>
      <c r="B51" s="527"/>
      <c r="C51" s="527"/>
      <c r="D51" s="527"/>
      <c r="E51" s="527"/>
      <c r="F51" s="527"/>
      <c r="G51" s="528"/>
    </row>
    <row r="52" spans="1:12" ht="13.5" customHeight="1">
      <c r="A52" s="523" t="s">
        <v>509</v>
      </c>
      <c r="B52" s="524"/>
      <c r="C52" s="524"/>
      <c r="D52" s="524"/>
      <c r="E52" s="524"/>
      <c r="F52" s="524"/>
      <c r="G52" s="525"/>
    </row>
    <row r="53" spans="1:12" s="79" customFormat="1" ht="13.5" customHeight="1">
      <c r="A53" s="523" t="s">
        <v>314</v>
      </c>
      <c r="B53" s="524"/>
      <c r="C53" s="524"/>
      <c r="D53" s="524"/>
      <c r="E53" s="524"/>
      <c r="F53" s="524"/>
      <c r="G53" s="525"/>
      <c r="L53" s="120"/>
    </row>
    <row r="54" spans="1:12" s="79" customFormat="1" ht="9.75" customHeight="1">
      <c r="A54" s="523"/>
      <c r="B54" s="524"/>
      <c r="C54" s="524"/>
      <c r="D54" s="524"/>
      <c r="E54" s="524"/>
      <c r="F54" s="524"/>
      <c r="G54" s="525"/>
      <c r="L54" s="120"/>
    </row>
    <row r="55" spans="1:12" s="79" customFormat="1" ht="13.5" customHeight="1">
      <c r="A55" s="483" t="s">
        <v>408</v>
      </c>
      <c r="B55" s="524"/>
      <c r="C55" s="524"/>
      <c r="D55" s="524"/>
      <c r="E55" s="524"/>
      <c r="F55" s="524"/>
      <c r="G55" s="525"/>
      <c r="L55" s="120"/>
    </row>
    <row r="56" spans="1:12" s="79" customFormat="1" ht="13.5" customHeight="1">
      <c r="A56" s="523" t="s">
        <v>688</v>
      </c>
      <c r="B56" s="524"/>
      <c r="C56" s="524"/>
      <c r="D56" s="524"/>
      <c r="E56" s="524"/>
      <c r="F56" s="524"/>
      <c r="G56" s="525"/>
      <c r="L56" s="120"/>
    </row>
    <row r="57" spans="1:12" s="79" customFormat="1" ht="13.5" customHeight="1">
      <c r="A57" s="523"/>
      <c r="B57" s="524"/>
      <c r="C57" s="524"/>
      <c r="D57" s="524"/>
      <c r="E57" s="524"/>
      <c r="F57" s="524"/>
      <c r="G57" s="525"/>
      <c r="L57" s="120"/>
    </row>
    <row r="58" spans="1:12" ht="7.5" customHeight="1">
      <c r="A58" s="523"/>
      <c r="B58" s="524"/>
      <c r="C58" s="524"/>
      <c r="D58" s="524"/>
      <c r="E58" s="524"/>
      <c r="F58" s="524"/>
      <c r="G58" s="525"/>
    </row>
    <row r="59" spans="1:12" s="79" customFormat="1" ht="21">
      <c r="A59" s="85" t="s">
        <v>118</v>
      </c>
      <c r="B59" s="158">
        <f>$B$1</f>
        <v>1</v>
      </c>
      <c r="C59" s="86" t="s">
        <v>40</v>
      </c>
      <c r="D59" s="87" t="str">
        <f>$E$1</f>
        <v>無限回</v>
      </c>
      <c r="E59" s="465" t="str">
        <f>$B$2</f>
        <v>ウォーデンズ・ランジ</v>
      </c>
      <c r="F59" s="466"/>
      <c r="G59" s="467"/>
      <c r="L59" s="120"/>
    </row>
    <row r="60" spans="1:12" s="79" customFormat="1" ht="13.5" customHeight="1">
      <c r="A60" s="120"/>
      <c r="B60" s="120"/>
      <c r="C60" s="120"/>
      <c r="D60" s="120"/>
      <c r="L60" s="120"/>
    </row>
    <row r="61" spans="1:12" s="79" customFormat="1" ht="13.5" customHeight="1">
      <c r="A61" s="120"/>
      <c r="B61" s="120"/>
      <c r="C61" s="120"/>
      <c r="D61" s="120"/>
      <c r="L61" s="120"/>
    </row>
    <row r="62" spans="1:12" s="79" customFormat="1" ht="13.5" customHeight="1">
      <c r="A62" s="120"/>
      <c r="B62" s="120"/>
      <c r="C62" s="120"/>
      <c r="D62" s="120"/>
      <c r="L62" s="120"/>
    </row>
    <row r="63" spans="1:12" s="79" customFormat="1" ht="13.5" customHeight="1">
      <c r="A63" s="120"/>
      <c r="B63" s="120"/>
      <c r="C63" s="120"/>
      <c r="D63" s="120"/>
      <c r="L63" s="120"/>
    </row>
    <row r="64" spans="1:12" s="79" customFormat="1" ht="13.5" customHeight="1">
      <c r="A64" s="120"/>
      <c r="B64" s="120"/>
      <c r="C64" s="120"/>
      <c r="D64" s="120"/>
      <c r="L64" s="120"/>
    </row>
    <row r="65" spans="1:12" s="79" customFormat="1" ht="13.5" customHeight="1">
      <c r="A65" s="120"/>
      <c r="B65" s="120"/>
      <c r="C65" s="120"/>
      <c r="D65" s="120"/>
      <c r="L65" s="120"/>
    </row>
    <row r="66" spans="1:12" s="79" customFormat="1" ht="6" customHeight="1">
      <c r="A66" s="120"/>
      <c r="B66" s="120"/>
      <c r="C66" s="120"/>
      <c r="D66" s="120"/>
      <c r="L66" s="120"/>
    </row>
    <row r="67" spans="1:12" s="79" customFormat="1">
      <c r="A67" s="120"/>
      <c r="B67" s="120"/>
      <c r="C67" s="120"/>
      <c r="D67" s="120"/>
      <c r="L67" s="120"/>
    </row>
  </sheetData>
  <mergeCells count="60">
    <mergeCell ref="A23:A24"/>
    <mergeCell ref="B12:G12"/>
    <mergeCell ref="B13:G13"/>
    <mergeCell ref="B14:G14"/>
    <mergeCell ref="J9:K9"/>
    <mergeCell ref="B11:G11"/>
    <mergeCell ref="N4:S4"/>
    <mergeCell ref="P9:Q9"/>
    <mergeCell ref="P11:Q11"/>
    <mergeCell ref="A19:A22"/>
    <mergeCell ref="C19:C22"/>
    <mergeCell ref="B15:G15"/>
    <mergeCell ref="B16:G16"/>
    <mergeCell ref="A18:C18"/>
    <mergeCell ref="J11:K11"/>
    <mergeCell ref="H4:M4"/>
    <mergeCell ref="B6:D6"/>
    <mergeCell ref="B7:D7"/>
    <mergeCell ref="B8:G8"/>
    <mergeCell ref="B9:G9"/>
    <mergeCell ref="B10:G10"/>
    <mergeCell ref="A28:G28"/>
    <mergeCell ref="A44:G44"/>
    <mergeCell ref="A25:A26"/>
    <mergeCell ref="A27:G27"/>
    <mergeCell ref="A30:G30"/>
    <mergeCell ref="A31:G31"/>
    <mergeCell ref="A32:G32"/>
    <mergeCell ref="A35:G35"/>
    <mergeCell ref="A36:G36"/>
    <mergeCell ref="A37:G37"/>
    <mergeCell ref="A38:G38"/>
    <mergeCell ref="A39:G39"/>
    <mergeCell ref="A40:G40"/>
    <mergeCell ref="A33:G33"/>
    <mergeCell ref="A29:G29"/>
    <mergeCell ref="A34:G34"/>
    <mergeCell ref="A46:G46"/>
    <mergeCell ref="A47:G47"/>
    <mergeCell ref="A41:G41"/>
    <mergeCell ref="A42:G42"/>
    <mergeCell ref="A43:G43"/>
    <mergeCell ref="A45:G45"/>
    <mergeCell ref="E59:G59"/>
    <mergeCell ref="A58:G58"/>
    <mergeCell ref="A55:G55"/>
    <mergeCell ref="A54:G54"/>
    <mergeCell ref="A48:G48"/>
    <mergeCell ref="A53:G53"/>
    <mergeCell ref="A50:G50"/>
    <mergeCell ref="A51:G51"/>
    <mergeCell ref="A52:G52"/>
    <mergeCell ref="A49:G49"/>
    <mergeCell ref="A56:G56"/>
    <mergeCell ref="A57:G57"/>
    <mergeCell ref="B1:C1"/>
    <mergeCell ref="F1:G1"/>
    <mergeCell ref="B2:G2"/>
    <mergeCell ref="B4:G4"/>
    <mergeCell ref="B5:G5"/>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基本!$D$27:$D$31</xm:f>
          </x14:formula1>
          <xm:sqref>I7</xm:sqref>
        </x14:dataValidation>
        <x14:dataValidation type="list" allowBlank="1" showInputMessage="1" showErrorMessage="1">
          <x14:formula1>
            <xm:f>基本!$A$16:$A$19</xm:f>
          </x14:formula1>
          <xm:sqref>K8</xm:sqref>
        </x14:dataValidation>
        <x14:dataValidation type="list" allowBlank="1" showInputMessage="1" showErrorMessage="1">
          <x14:formula1>
            <xm:f>基本!$C$27:$C$37</xm:f>
          </x14:formula1>
          <xm:sqref>I15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S63"/>
  <sheetViews>
    <sheetView zoomScaleNormal="100" workbookViewId="0">
      <selection activeCell="B2" sqref="B2:G2"/>
    </sheetView>
  </sheetViews>
  <sheetFormatPr defaultRowHeight="13.5"/>
  <cols>
    <col min="1" max="1" width="7.875" style="120" customWidth="1"/>
    <col min="2" max="2" width="8.5" style="120" customWidth="1"/>
    <col min="3" max="3" width="6.625" style="120" customWidth="1"/>
    <col min="4" max="4" width="15.75" style="120" customWidth="1"/>
    <col min="5" max="6" width="15.75" style="79" customWidth="1"/>
    <col min="7" max="7" width="18.25" style="79" customWidth="1"/>
    <col min="8" max="8" width="17.375" style="79" customWidth="1"/>
    <col min="9" max="9" width="14.625" style="79" customWidth="1"/>
    <col min="10" max="10" width="8.375" style="79" customWidth="1"/>
    <col min="11" max="11" width="7.5" style="79" customWidth="1"/>
    <col min="12" max="12" width="7.875" style="120" customWidth="1"/>
    <col min="13" max="13" width="9.25" style="120" customWidth="1"/>
    <col min="14" max="14" width="12.375" style="120" customWidth="1"/>
    <col min="15" max="16384" width="9" style="120"/>
  </cols>
  <sheetData>
    <row r="1" spans="1:19" ht="21">
      <c r="A1" s="81" t="s">
        <v>118</v>
      </c>
      <c r="B1" s="485">
        <v>1</v>
      </c>
      <c r="C1" s="486"/>
      <c r="D1" s="83" t="s">
        <v>40</v>
      </c>
      <c r="E1" s="82" t="s">
        <v>41</v>
      </c>
      <c r="F1" s="487"/>
      <c r="G1" s="488"/>
      <c r="H1" s="84" t="s">
        <v>55</v>
      </c>
    </row>
    <row r="2" spans="1:19" ht="24.75" customHeight="1">
      <c r="A2" s="83" t="s">
        <v>0</v>
      </c>
      <c r="B2" s="489" t="s">
        <v>647</v>
      </c>
      <c r="C2" s="489"/>
      <c r="D2" s="489"/>
      <c r="E2" s="489"/>
      <c r="F2" s="489"/>
      <c r="G2" s="489"/>
      <c r="H2" s="84" t="s">
        <v>56</v>
      </c>
    </row>
    <row r="3" spans="1:19" ht="19.5" customHeight="1">
      <c r="A3" s="90" t="s">
        <v>48</v>
      </c>
      <c r="B3" s="79"/>
      <c r="C3" s="79"/>
      <c r="D3" s="79"/>
      <c r="I3" s="84"/>
    </row>
    <row r="4" spans="1:19">
      <c r="A4" s="67" t="s">
        <v>46</v>
      </c>
      <c r="B4" s="480" t="s">
        <v>140</v>
      </c>
      <c r="C4" s="481"/>
      <c r="D4" s="481"/>
      <c r="E4" s="481"/>
      <c r="F4" s="481"/>
      <c r="G4" s="482"/>
      <c r="H4" s="394" t="s">
        <v>646</v>
      </c>
      <c r="I4" s="395"/>
      <c r="J4" s="395"/>
      <c r="K4" s="395"/>
      <c r="L4" s="395"/>
      <c r="M4" s="396"/>
      <c r="N4" s="394" t="s">
        <v>646</v>
      </c>
      <c r="O4" s="395"/>
      <c r="P4" s="395"/>
      <c r="Q4" s="395"/>
      <c r="R4" s="395"/>
      <c r="S4" s="396"/>
    </row>
    <row r="5" spans="1:19">
      <c r="A5" s="68" t="s">
        <v>39</v>
      </c>
      <c r="B5" s="480" t="s">
        <v>684</v>
      </c>
      <c r="C5" s="481"/>
      <c r="D5" s="481"/>
      <c r="E5" s="481"/>
      <c r="F5" s="481"/>
      <c r="G5" s="482"/>
      <c r="H5" s="324" t="s">
        <v>43</v>
      </c>
      <c r="I5" s="325" t="s">
        <v>69</v>
      </c>
      <c r="J5" s="325" t="s">
        <v>100</v>
      </c>
      <c r="N5" s="324" t="s">
        <v>43</v>
      </c>
      <c r="O5" s="325" t="s">
        <v>71</v>
      </c>
      <c r="P5" s="325" t="s">
        <v>100</v>
      </c>
      <c r="Q5" s="79"/>
    </row>
    <row r="6" spans="1:19">
      <c r="A6" s="68" t="s">
        <v>7</v>
      </c>
      <c r="B6" s="480" t="s">
        <v>5</v>
      </c>
      <c r="C6" s="481"/>
      <c r="D6" s="482"/>
      <c r="E6" s="133" t="s">
        <v>43</v>
      </c>
      <c r="F6" s="134" t="str">
        <f>$I$5</f>
        <v>近接</v>
      </c>
      <c r="G6" s="134" t="str">
        <f>IF($J$5 = 0,"", $J$5)</f>
        <v>武器</v>
      </c>
      <c r="H6" s="324" t="s">
        <v>66</v>
      </c>
      <c r="I6" s="325"/>
      <c r="J6" s="325"/>
      <c r="N6" s="324" t="s">
        <v>66</v>
      </c>
      <c r="O6" s="325"/>
      <c r="P6" s="325"/>
      <c r="Q6" s="79"/>
    </row>
    <row r="7" spans="1:19">
      <c r="A7" s="69" t="s">
        <v>6</v>
      </c>
      <c r="B7" s="480" t="s">
        <v>91</v>
      </c>
      <c r="C7" s="481"/>
      <c r="D7" s="482"/>
      <c r="E7" s="133" t="s">
        <v>66</v>
      </c>
      <c r="F7" s="134" t="str">
        <f>IF($I$6 = 0,"", $I$6)</f>
        <v/>
      </c>
      <c r="G7" s="134" t="str">
        <f>IF($J$6 = 0,"", $J$6)</f>
        <v/>
      </c>
      <c r="H7" s="324" t="s">
        <v>85</v>
      </c>
      <c r="I7" s="332" t="s">
        <v>116</v>
      </c>
      <c r="J7" s="84" t="s">
        <v>62</v>
      </c>
      <c r="L7" s="176" t="s">
        <v>318</v>
      </c>
      <c r="N7" s="324" t="s">
        <v>85</v>
      </c>
      <c r="O7" s="325" t="s">
        <v>640</v>
      </c>
      <c r="P7" s="84" t="s">
        <v>62</v>
      </c>
      <c r="Q7" s="79"/>
      <c r="R7" s="176" t="s">
        <v>318</v>
      </c>
    </row>
    <row r="8" spans="1:19">
      <c r="A8" s="69" t="s">
        <v>8</v>
      </c>
      <c r="B8" s="534" t="s">
        <v>276</v>
      </c>
      <c r="C8" s="535"/>
      <c r="D8" s="535"/>
      <c r="E8" s="535"/>
      <c r="F8" s="535"/>
      <c r="G8" s="536"/>
      <c r="H8" s="324" t="s">
        <v>51</v>
      </c>
      <c r="I8" s="325" t="s">
        <v>12</v>
      </c>
      <c r="J8" s="323">
        <f>IF($I$8 = "筋力",基本!$C$5,IF($I$8 = "耐久力",基本!$C$6,IF($I$8 = "敏捷力",基本!$C$7,IF($I$8 = "知力",基本!$C$8,IF($I$8 = "判断力",基本!$C$9,IF($I$8 = "魅力",基本!$C$10,""))))))</f>
        <v>6</v>
      </c>
      <c r="K8" s="325" t="s">
        <v>90</v>
      </c>
      <c r="L8" s="177">
        <f>$J$8+$L$9+$I$9</f>
        <v>22</v>
      </c>
      <c r="N8" s="324" t="s">
        <v>51</v>
      </c>
      <c r="O8" s="325" t="s">
        <v>12</v>
      </c>
      <c r="P8" s="323">
        <f>IF(O8="",0,VLOOKUP(O8,基本!$A$5:'基本'!$C$10,3,FALSE))</f>
        <v>6</v>
      </c>
      <c r="Q8" s="325" t="s">
        <v>90</v>
      </c>
      <c r="R8" s="177">
        <f>$P$8+$O$9+$R$9</f>
        <v>22</v>
      </c>
    </row>
    <row r="9" spans="1:19" ht="14.25" customHeight="1">
      <c r="A9" s="71" t="s">
        <v>9</v>
      </c>
      <c r="B9" s="474" t="s">
        <v>653</v>
      </c>
      <c r="C9" s="475"/>
      <c r="D9" s="475"/>
      <c r="E9" s="475"/>
      <c r="F9" s="475"/>
      <c r="G9" s="476"/>
      <c r="H9" s="324" t="s">
        <v>58</v>
      </c>
      <c r="I9" s="325">
        <v>0</v>
      </c>
      <c r="J9" s="394" t="s">
        <v>53</v>
      </c>
      <c r="K9" s="396"/>
      <c r="L9" s="323">
        <f>IF($I$7=基本!$F$4,基本!$P$7,IF($I$7=基本!$F$13,基本!$P$16,IF($I$7=基本!$F$22,基本!$P$25,IF($I$7=基本!$F$31,基本!$P$34,IF($I$7=基本!$F$40,基本!$P$43,0)))))</f>
        <v>16</v>
      </c>
      <c r="N9" s="324" t="s">
        <v>58</v>
      </c>
      <c r="O9" s="325">
        <v>0</v>
      </c>
      <c r="P9" s="394" t="s">
        <v>53</v>
      </c>
      <c r="Q9" s="396"/>
      <c r="R9" s="323">
        <f>IF($O$7=基本!$F$4,基本!$P$7,IF($O$7=基本!$F$13,基本!$P$16,IF($O$7=基本!$F$22,基本!$P$25,IF($O$7=基本!$F$31,基本!$P$34,IF($O$7=基本!$F$40,基本!$P$43,0)))))</f>
        <v>16</v>
      </c>
    </row>
    <row r="10" spans="1:19" ht="14.25" customHeight="1">
      <c r="A10" s="71"/>
      <c r="B10" s="505" t="s">
        <v>654</v>
      </c>
      <c r="C10" s="506"/>
      <c r="D10" s="506"/>
      <c r="E10" s="506"/>
      <c r="F10" s="506"/>
      <c r="G10" s="507"/>
      <c r="H10" s="326" t="s">
        <v>52</v>
      </c>
      <c r="I10" s="325" t="s">
        <v>12</v>
      </c>
      <c r="J10" s="88">
        <f>IF(I10 = "筋力",基本!$C$5,IF(I10 = "耐久力",基本!$C$6,IF(I10 = "敏捷力",基本!$C$7,IF(I10 = "知力",基本!$C$8,IF(I10 = "判断力",基本!$C$9,IF(I10 = "魅力",基本!$C$10,""))))))</f>
        <v>6</v>
      </c>
      <c r="K10" s="325" t="s">
        <v>13</v>
      </c>
      <c r="L10" s="88">
        <f>IF(K10 = "筋力",基本!$C$5,IF(K10 = "耐久力",基本!$C$6,IF(K10 = "敏捷力",基本!$C$7,IF(K10 = "知力",基本!$C$8,IF(K10 = "判断力",基本!$C$9,IF(K10 = "魅力",基本!$C$10,""))))))</f>
        <v>2</v>
      </c>
      <c r="N10" s="326" t="s">
        <v>52</v>
      </c>
      <c r="O10" s="325" t="s">
        <v>12</v>
      </c>
      <c r="P10" s="88">
        <f>IF(O10 = "筋力",基本!$C$5,IF(O10 = "耐久力",基本!$C$6,IF(O10 = "敏捷力",基本!$C$7,IF(O10 = "知力",基本!$C$8,IF(O10 = "判断力",基本!$C$9,IF(O10 = "魅力",基本!$C$10,""))))))</f>
        <v>6</v>
      </c>
      <c r="Q10" s="332" t="s">
        <v>13</v>
      </c>
      <c r="R10" s="88">
        <f>IF(Q10 = "筋力",基本!$C$5,IF(Q10 = "耐久力",基本!$C$6,IF(Q10 = "敏捷力",基本!$C$7,IF(Q10 = "知力",基本!$C$8,IF(Q10 = "判断力",基本!$C$9,IF(Q10 = "魅力",基本!$C$10,""))))))</f>
        <v>2</v>
      </c>
    </row>
    <row r="11" spans="1:19" ht="14.25" customHeight="1">
      <c r="A11" s="71"/>
      <c r="B11" s="505" t="s">
        <v>666</v>
      </c>
      <c r="C11" s="506"/>
      <c r="D11" s="506"/>
      <c r="E11" s="506"/>
      <c r="F11" s="506"/>
      <c r="G11" s="507"/>
      <c r="H11" s="324" t="s">
        <v>59</v>
      </c>
      <c r="I11" s="325">
        <v>0</v>
      </c>
      <c r="J11" s="394" t="s">
        <v>54</v>
      </c>
      <c r="K11" s="396"/>
      <c r="L11" s="323">
        <f>IF($I$7=基本!$F$4,基本!$P$9,IF($I$7=基本!$F$13,基本!$P$18,IF($I$7=基本!$F$22,基本!$P$27,IF($I$7=基本!$F$31,基本!$P$36,IF($I$7=基本!$F$40,基本!$P$45,0)))))</f>
        <v>6</v>
      </c>
      <c r="N11" s="324" t="s">
        <v>59</v>
      </c>
      <c r="O11" s="325">
        <v>0</v>
      </c>
      <c r="P11" s="394" t="s">
        <v>643</v>
      </c>
      <c r="Q11" s="396"/>
      <c r="R11" s="323">
        <f>IF($O$7=基本!$F$4,基本!$P$9,IF($O$7=基本!$F$13,基本!$P$18,IF($O$7=基本!$F$22,基本!$P$27,IF($O$7=基本!$F$31,基本!$P$36,IF($O$7=基本!$F$40,基本!$P$45,0)))))</f>
        <v>6</v>
      </c>
    </row>
    <row r="12" spans="1:19">
      <c r="A12" s="71"/>
      <c r="B12" s="505" t="s">
        <v>667</v>
      </c>
      <c r="C12" s="506"/>
      <c r="D12" s="506"/>
      <c r="E12" s="506"/>
      <c r="F12" s="506"/>
      <c r="G12" s="507"/>
      <c r="H12" s="327" t="s">
        <v>319</v>
      </c>
      <c r="I12" s="325">
        <v>1</v>
      </c>
      <c r="J12" s="120"/>
      <c r="K12" s="120"/>
      <c r="L12" s="176" t="s">
        <v>318</v>
      </c>
      <c r="M12" s="334" t="s">
        <v>60</v>
      </c>
      <c r="N12" s="327" t="s">
        <v>319</v>
      </c>
      <c r="O12" s="325">
        <v>1</v>
      </c>
      <c r="R12" s="176" t="s">
        <v>318</v>
      </c>
      <c r="S12" s="334" t="s">
        <v>60</v>
      </c>
    </row>
    <row r="13" spans="1:19" ht="6.75" customHeight="1">
      <c r="A13" s="71"/>
      <c r="B13" s="483"/>
      <c r="C13" s="472"/>
      <c r="D13" s="472"/>
      <c r="E13" s="472"/>
      <c r="F13" s="472"/>
      <c r="G13" s="484"/>
      <c r="H13" s="327" t="s">
        <v>86</v>
      </c>
      <c r="I13" s="32">
        <f>IF($I$7=基本!$F$4,基本!$F$9,IF($I$7=基本!$F$13,基本!$F$18,IF($I$7=基本!$F$22,基本!$F$27,IF($I$7=基本!$F$31,基本!$F$36,IF($I$7=基本!$F$40,基本!$F$45,0)))))*$I$12</f>
        <v>1</v>
      </c>
      <c r="J13" s="324" t="s">
        <v>44</v>
      </c>
      <c r="K13" s="32">
        <f>IF($I$7=基本!$F$4,基本!$H$9,IF($I$7=基本!$F$13,基本!$H$18,IF($I$7=基本!$F$22,基本!$H$27,IF($I$7=基本!$F$31,基本!$H$36,IF($I$7=基本!$F$40,基本!$H$45,0)))))</f>
        <v>10</v>
      </c>
      <c r="L13" s="177">
        <f>$J$10+$L$11+$I$11</f>
        <v>12</v>
      </c>
      <c r="M13" s="332" t="s">
        <v>669</v>
      </c>
      <c r="N13" s="327" t="s">
        <v>644</v>
      </c>
      <c r="O13" s="42">
        <f>IF($O$7=基本!$F$4,基本!$F$9,IF($O$7=基本!$F$13,基本!$F$18,IF($O$7=基本!$F$22,基本!$F$27,IF($O$7=基本!$F$31,基本!$F$36,IF($O$7=基本!$F$40,基本!$F$45,0)))))*$O$12</f>
        <v>1</v>
      </c>
      <c r="P13" s="324" t="s">
        <v>645</v>
      </c>
      <c r="Q13" s="42">
        <f>IF($O$7=基本!$F$4,基本!$H$9,IF($O$7=基本!$F$13,基本!$H$18,IF($O$7=基本!$F$22,基本!$H$27,IF($O$7=基本!$F$31,基本!$H$36,IF($O$7=基本!$F$40,基本!$H$45,0)))))</f>
        <v>6</v>
      </c>
      <c r="R13" s="177">
        <f>$P$10+$O$11+$R$11</f>
        <v>12</v>
      </c>
      <c r="S13" s="332" t="s">
        <v>669</v>
      </c>
    </row>
    <row r="14" spans="1:19" ht="24.75" customHeight="1">
      <c r="A14" s="92"/>
      <c r="B14" s="554" t="str">
        <f xml:space="preserve"> "目標ではなくリュカオンから２マス以内のマーク済の敵に " &amp; $L$10 &amp; " 雷鳴ダメージ"</f>
        <v>目標ではなくリュカオンから２マス以内のマーク済の敵に 2 雷鳴ダメージ</v>
      </c>
      <c r="C14" s="555"/>
      <c r="D14" s="555"/>
      <c r="E14" s="555"/>
      <c r="F14" s="555"/>
      <c r="G14" s="556"/>
      <c r="H14" s="324" t="s">
        <v>50</v>
      </c>
      <c r="I14" s="32">
        <f>IF($I$7=基本!$F$4,基本!$L$11,IF($I$7=基本!$F$13,基本!$L$20,IF($I$7=基本!$F$22,基本!$L$29,IF($I$7=基本!$F$31,基本!$L$38,IF($I$7=基本!$F$40,基本!$L$47,0)))))</f>
        <v>4</v>
      </c>
      <c r="J14" s="324" t="s">
        <v>44</v>
      </c>
      <c r="K14" s="32">
        <f>IF($I$7=基本!$F$4,基本!$N$11,IF($I$7=基本!$F$13,基本!$N$20,IF($I$7=基本!$F$22,基本!$N$29,IF($I$7=基本!$F$31,基本!$N$38,IF($I$7=基本!$F$40,基本!$N$47,0)))))</f>
        <v>8</v>
      </c>
      <c r="L14" s="177">
        <f>$J$10+$L$11+$I$11+($I$13*$K$13)</f>
        <v>22</v>
      </c>
      <c r="M14" s="332" t="s">
        <v>669</v>
      </c>
      <c r="N14" s="324" t="s">
        <v>50</v>
      </c>
      <c r="O14" s="42">
        <f>IF($O$7=基本!$F$4,基本!$L$11,IF($O$7=基本!$F$13,基本!$L$20,IF($O$7=基本!$F$22,基本!$L$29,IF($O$7=基本!$F$31,基本!$L$38,IF($O$7=基本!$F$40,基本!$L$47,0)))))</f>
        <v>4</v>
      </c>
      <c r="P14" s="324" t="s">
        <v>645</v>
      </c>
      <c r="Q14" s="42">
        <f>IF($O$7=基本!$F$4,基本!$N$11,IF($O$7=基本!$F$13,基本!$N$20,IF($O$7=基本!$F$22,基本!$N$29,IF($O$7=基本!$F$31,基本!$N$38,IF($O$7=基本!$F$40,基本!$N$47,0)))))</f>
        <v>6</v>
      </c>
      <c r="R14" s="177">
        <f>$P$10+$R$11+$O$11+($O$13*$Q$13)</f>
        <v>18</v>
      </c>
      <c r="S14" s="332" t="s">
        <v>669</v>
      </c>
    </row>
    <row r="15" spans="1:19" ht="27" customHeight="1">
      <c r="A15" s="71"/>
      <c r="B15" s="554" t="s">
        <v>689</v>
      </c>
      <c r="C15" s="555"/>
      <c r="D15" s="555"/>
      <c r="E15" s="555"/>
      <c r="F15" s="555"/>
      <c r="G15" s="556"/>
      <c r="H15" s="120"/>
      <c r="I15" s="120"/>
      <c r="J15" s="120"/>
      <c r="K15" s="120"/>
    </row>
    <row r="16" spans="1:19" ht="6" customHeight="1">
      <c r="A16" s="72"/>
      <c r="B16" s="452"/>
      <c r="C16" s="453"/>
      <c r="D16" s="453"/>
      <c r="E16" s="453"/>
      <c r="F16" s="453"/>
      <c r="G16" s="454"/>
      <c r="H16" s="120"/>
      <c r="I16" s="120"/>
      <c r="J16" s="120"/>
      <c r="K16" s="120"/>
    </row>
    <row r="17" spans="1:11" ht="14.25" thickBot="1">
      <c r="A17" s="113" t="s">
        <v>47</v>
      </c>
      <c r="E17" s="80"/>
      <c r="H17" s="120"/>
      <c r="I17" s="120"/>
      <c r="J17" s="120"/>
      <c r="K17" s="120"/>
    </row>
    <row r="18" spans="1:11" ht="15" customHeight="1">
      <c r="A18" s="544" t="str">
        <f>$B$2</f>
        <v>テンペスト･アソールト</v>
      </c>
      <c r="B18" s="545"/>
      <c r="C18" s="546"/>
      <c r="D18" s="550" t="s">
        <v>2</v>
      </c>
      <c r="E18" s="551"/>
      <c r="F18" s="552" t="s">
        <v>525</v>
      </c>
      <c r="G18" s="553"/>
      <c r="H18" s="120"/>
      <c r="I18" s="120"/>
      <c r="J18" s="120"/>
      <c r="K18" s="120"/>
    </row>
    <row r="19" spans="1:11" ht="18.75" customHeight="1" thickBot="1">
      <c r="A19" s="547"/>
      <c r="B19" s="548"/>
      <c r="C19" s="549"/>
      <c r="D19" s="190" t="s">
        <v>2</v>
      </c>
      <c r="E19" s="191" t="s">
        <v>1</v>
      </c>
      <c r="F19" s="190" t="s">
        <v>2</v>
      </c>
      <c r="G19" s="343" t="s">
        <v>1</v>
      </c>
      <c r="H19" s="120"/>
      <c r="I19" s="120"/>
      <c r="J19" s="120"/>
      <c r="K19" s="120"/>
    </row>
    <row r="20" spans="1:11" ht="21" customHeight="1">
      <c r="A20" s="540" t="s">
        <v>42</v>
      </c>
      <c r="B20" s="186" t="s">
        <v>117</v>
      </c>
      <c r="C20" s="542" t="str">
        <f>$K$8</f>
        <v>AC</v>
      </c>
      <c r="D20" s="185" t="str">
        <f>$L$8 &amp; "+1d20"</f>
        <v>22+1d20</v>
      </c>
      <c r="E20" s="198" t="str">
        <f>$L$8+2 &amp; "+1d20"</f>
        <v>24+1d20</v>
      </c>
      <c r="F20" s="185" t="str">
        <f>$R$8 &amp; "+1d20"</f>
        <v>22+1d20</v>
      </c>
      <c r="G20" s="344" t="str">
        <f>$R$8+2 &amp; "+1d20"</f>
        <v>24+1d20</v>
      </c>
      <c r="H20" s="120"/>
      <c r="I20" s="120"/>
      <c r="J20" s="120"/>
      <c r="K20" s="120"/>
    </row>
    <row r="21" spans="1:11" ht="24" customHeight="1" thickBot="1">
      <c r="A21" s="541"/>
      <c r="B21" s="345" t="s">
        <v>668</v>
      </c>
      <c r="C21" s="543"/>
      <c r="D21" s="199" t="str">
        <f>3+$L$8 &amp; "+1d20"</f>
        <v>25+1d20</v>
      </c>
      <c r="E21" s="346" t="str">
        <f>3+$L$8+2 &amp; "+1d20"</f>
        <v>27+1d20</v>
      </c>
      <c r="F21" s="199" t="str">
        <f>3+$R$8 &amp; "+1d20"</f>
        <v>25+1d20</v>
      </c>
      <c r="G21" s="200" t="str">
        <f>3+$R$8+2 &amp; "+1d20"</f>
        <v>27+1d20</v>
      </c>
      <c r="H21" s="120"/>
      <c r="I21" s="120"/>
      <c r="J21" s="120"/>
      <c r="K21" s="120"/>
    </row>
    <row r="22" spans="1:11" ht="23.25" customHeight="1">
      <c r="A22" s="470" t="s">
        <v>360</v>
      </c>
      <c r="B22" s="137" t="s">
        <v>361</v>
      </c>
      <c r="C22" s="335" t="str">
        <f>IF($M$13 = 0,"", $M$13)</f>
        <v>電撃</v>
      </c>
      <c r="D22" s="56" t="str">
        <f>-2+$L$13 &amp; "+" &amp; $I$13 &amp; "d" &amp; $K$13</f>
        <v>10+1d10</v>
      </c>
      <c r="E22" s="56" t="str">
        <f>-2+$L$13 &amp; "+" &amp; $I$13 &amp; "d" &amp; $K$13</f>
        <v>10+1d10</v>
      </c>
      <c r="F22" s="56" t="str">
        <f>-2+$R$13 &amp; "+" &amp; $O$13 &amp; "d" &amp; $Q$13</f>
        <v>10+1d6</v>
      </c>
      <c r="G22" s="57" t="str">
        <f>-2+$R$13 &amp; "+" &amp; $O$13 &amp; "d" &amp; $Q$13</f>
        <v>10+1d6</v>
      </c>
      <c r="H22" s="120"/>
      <c r="I22" s="120"/>
      <c r="J22" s="120"/>
      <c r="K22" s="120"/>
    </row>
    <row r="23" spans="1:11" ht="23.25" customHeight="1" thickBot="1">
      <c r="A23" s="471"/>
      <c r="B23" s="148" t="s">
        <v>362</v>
      </c>
      <c r="C23" s="347" t="str">
        <f>IF($M$14 = 0,"", $M$14)</f>
        <v>電撃</v>
      </c>
      <c r="D23" s="150" t="str">
        <f>-2+$L$14 &amp; IF($I$14 =0,"","＆別の敵へ" &amp; $I$14 &amp; "d" &amp; $K$14)</f>
        <v>20＆別の敵へ4d8</v>
      </c>
      <c r="E23" s="150" t="str">
        <f t="shared" ref="E23" si="0">-2+$L$14 &amp; IF($I$14 =0,"","＆別の敵へ" &amp; $I$14 &amp; "d" &amp; $K$14)</f>
        <v>20＆別の敵へ4d8</v>
      </c>
      <c r="F23" s="150" t="str">
        <f>-2+$R$14 &amp; IF($O$14 = 0,"","+" &amp; $O$14 &amp; "d" &amp; $Q$14)</f>
        <v>16+4d6</v>
      </c>
      <c r="G23" s="305" t="str">
        <f>-2+$R$14 &amp; IF($O$14 = 0,"","+" &amp; $O$14 &amp; "d" &amp; $Q$14)</f>
        <v>16+4d6</v>
      </c>
      <c r="H23" s="120"/>
      <c r="I23" s="120"/>
      <c r="J23" s="120"/>
      <c r="K23" s="120"/>
    </row>
    <row r="24" spans="1:11" ht="23.25" customHeight="1">
      <c r="A24" s="455" t="s">
        <v>136</v>
      </c>
      <c r="B24" s="137" t="s">
        <v>361</v>
      </c>
      <c r="C24" s="335" t="str">
        <f>IF($M$13 = 0,"", $M$13)</f>
        <v>電撃</v>
      </c>
      <c r="D24" s="56" t="str">
        <f>$L$13 &amp; "+" &amp; $I$13 &amp; "d" &amp; $K$13</f>
        <v>12+1d10</v>
      </c>
      <c r="E24" s="56" t="str">
        <f>$L$13 &amp; "+" &amp; $I$13 &amp; "d" &amp; $K$13</f>
        <v>12+1d10</v>
      </c>
      <c r="F24" s="56" t="str">
        <f>$R$13 &amp; "+" &amp; $O$13 &amp; "d" &amp; $Q$13</f>
        <v>12+1d6</v>
      </c>
      <c r="G24" s="57" t="str">
        <f>$R$13 &amp; "+" &amp; $O$13 &amp; "d" &amp; $Q$13</f>
        <v>12+1d6</v>
      </c>
      <c r="H24" s="120"/>
      <c r="I24" s="120"/>
      <c r="J24" s="120"/>
      <c r="K24" s="120"/>
    </row>
    <row r="25" spans="1:11" ht="23.25" customHeight="1" thickBot="1">
      <c r="A25" s="557"/>
      <c r="B25" s="148" t="s">
        <v>362</v>
      </c>
      <c r="C25" s="347" t="str">
        <f>IF($M$14 = 0,"", $M$14)</f>
        <v>電撃</v>
      </c>
      <c r="D25" s="333" t="str">
        <f>$L$14 &amp; IF($I$14 =0,"","＆別の敵へ" &amp; $I$14 &amp; "d" &amp; $K$14)</f>
        <v>22＆別の敵へ4d8</v>
      </c>
      <c r="E25" s="333" t="str">
        <f t="shared" ref="E25" si="1">$L$14 &amp; IF($I$14 =0,"","＆別の敵へ" &amp; $I$14 &amp; "d" &amp; $K$14)</f>
        <v>22＆別の敵へ4d8</v>
      </c>
      <c r="F25" s="333" t="str">
        <f>$R$14 &amp; IF($O$14 = 0,"","+" &amp; $O$14 &amp; "d" &amp; $Q$14)</f>
        <v>18+4d6</v>
      </c>
      <c r="G25" s="305" t="str">
        <f>$R$14 &amp; IF($O$14 = 0,"","+" &amp; $O$14 &amp; "d" &amp; $Q$14)</f>
        <v>18+4d6</v>
      </c>
      <c r="H25" s="120"/>
      <c r="I25" s="120"/>
      <c r="J25" s="120"/>
      <c r="K25" s="120"/>
    </row>
    <row r="26" spans="1:11" ht="7.5" customHeight="1">
      <c r="A26" s="490"/>
      <c r="B26" s="490"/>
      <c r="C26" s="490"/>
      <c r="D26" s="490"/>
      <c r="E26" s="490"/>
      <c r="F26" s="490"/>
      <c r="G26" s="490"/>
    </row>
    <row r="27" spans="1:11" ht="15" customHeight="1">
      <c r="A27" s="457" t="s">
        <v>676</v>
      </c>
      <c r="B27" s="457"/>
      <c r="C27" s="457"/>
      <c r="D27" s="457"/>
      <c r="E27" s="457"/>
      <c r="F27" s="457"/>
      <c r="G27" s="457"/>
      <c r="H27" s="120"/>
      <c r="I27" s="120"/>
      <c r="J27" s="120"/>
      <c r="K27" s="120"/>
    </row>
    <row r="28" spans="1:11" ht="13.5" customHeight="1">
      <c r="A28" s="458" t="s">
        <v>677</v>
      </c>
      <c r="B28" s="458"/>
      <c r="C28" s="458"/>
      <c r="D28" s="458"/>
      <c r="E28" s="458"/>
      <c r="F28" s="458"/>
      <c r="G28" s="458"/>
    </row>
    <row r="29" spans="1:11" ht="13.5" customHeight="1">
      <c r="A29" s="473" t="s">
        <v>686</v>
      </c>
      <c r="B29" s="458"/>
      <c r="C29" s="458"/>
      <c r="D29" s="458"/>
      <c r="E29" s="458"/>
      <c r="F29" s="458"/>
      <c r="G29" s="458"/>
    </row>
    <row r="30" spans="1:11" ht="13.5" customHeight="1">
      <c r="A30" s="473" t="s">
        <v>685</v>
      </c>
      <c r="B30" s="458"/>
      <c r="C30" s="458"/>
      <c r="D30" s="458"/>
      <c r="E30" s="458"/>
      <c r="F30" s="458"/>
      <c r="G30" s="458"/>
    </row>
    <row r="31" spans="1:11" ht="15" customHeight="1">
      <c r="A31" s="457" t="s">
        <v>497</v>
      </c>
      <c r="B31" s="457"/>
      <c r="C31" s="457"/>
      <c r="D31" s="457"/>
      <c r="E31" s="457"/>
      <c r="F31" s="457"/>
      <c r="G31" s="457"/>
      <c r="I31" s="120"/>
      <c r="J31" s="120"/>
      <c r="K31" s="120"/>
    </row>
    <row r="32" spans="1:11" ht="13.5" customHeight="1">
      <c r="A32" s="458" t="s">
        <v>412</v>
      </c>
      <c r="B32" s="458"/>
      <c r="C32" s="458"/>
      <c r="D32" s="458"/>
      <c r="E32" s="458"/>
      <c r="F32" s="458"/>
      <c r="G32" s="458"/>
    </row>
    <row r="33" spans="1:12" ht="13.5" customHeight="1">
      <c r="A33" s="458" t="s">
        <v>413</v>
      </c>
      <c r="B33" s="458"/>
      <c r="C33" s="458"/>
      <c r="D33" s="458"/>
      <c r="E33" s="458"/>
      <c r="F33" s="458"/>
      <c r="G33" s="458"/>
    </row>
    <row r="34" spans="1:12" ht="13.5" customHeight="1">
      <c r="A34" s="473" t="s">
        <v>499</v>
      </c>
      <c r="B34" s="458"/>
      <c r="C34" s="458"/>
      <c r="D34" s="458"/>
      <c r="E34" s="458"/>
      <c r="F34" s="458"/>
      <c r="G34" s="458"/>
    </row>
    <row r="35" spans="1:12" ht="13.5" customHeight="1">
      <c r="A35" s="473" t="s">
        <v>500</v>
      </c>
      <c r="B35" s="458"/>
      <c r="C35" s="458"/>
      <c r="D35" s="458"/>
      <c r="E35" s="458"/>
      <c r="F35" s="458"/>
      <c r="G35" s="458"/>
    </row>
    <row r="36" spans="1:12" ht="15" customHeight="1">
      <c r="A36" s="457" t="s">
        <v>322</v>
      </c>
      <c r="B36" s="457"/>
      <c r="C36" s="457"/>
      <c r="D36" s="457"/>
      <c r="E36" s="457"/>
      <c r="F36" s="457"/>
      <c r="G36" s="457"/>
      <c r="I36" s="120"/>
      <c r="J36" s="120"/>
      <c r="K36" s="120"/>
    </row>
    <row r="37" spans="1:12" ht="13.5" customHeight="1">
      <c r="A37" s="490" t="s">
        <v>359</v>
      </c>
      <c r="B37" s="490"/>
      <c r="C37" s="490"/>
      <c r="D37" s="490"/>
      <c r="E37" s="490"/>
      <c r="F37" s="490"/>
      <c r="G37" s="490"/>
    </row>
    <row r="38" spans="1:12" ht="13.5" customHeight="1">
      <c r="A38" s="458" t="s">
        <v>323</v>
      </c>
      <c r="B38" s="458"/>
      <c r="C38" s="458"/>
      <c r="D38" s="458"/>
      <c r="E38" s="458"/>
      <c r="F38" s="458"/>
      <c r="G38" s="458"/>
    </row>
    <row r="39" spans="1:12" s="348" customFormat="1" ht="15" customHeight="1">
      <c r="A39" s="457" t="s">
        <v>263</v>
      </c>
      <c r="B39" s="457"/>
      <c r="C39" s="457"/>
      <c r="D39" s="457"/>
      <c r="E39" s="457"/>
      <c r="F39" s="457"/>
      <c r="G39" s="457"/>
      <c r="H39" s="79"/>
    </row>
    <row r="40" spans="1:12" s="348" customFormat="1" ht="13.5" customHeight="1">
      <c r="A40" s="458" t="s">
        <v>264</v>
      </c>
      <c r="B40" s="458"/>
      <c r="C40" s="458"/>
      <c r="D40" s="458"/>
      <c r="E40" s="458"/>
      <c r="F40" s="458"/>
      <c r="G40" s="458"/>
      <c r="H40" s="79"/>
      <c r="I40" s="79"/>
      <c r="J40" s="79"/>
      <c r="K40" s="79"/>
    </row>
    <row r="41" spans="1:12" s="348" customFormat="1" ht="13.5" customHeight="1">
      <c r="A41" s="458" t="s">
        <v>265</v>
      </c>
      <c r="B41" s="458"/>
      <c r="C41" s="458"/>
      <c r="D41" s="458"/>
      <c r="E41" s="458"/>
      <c r="F41" s="458"/>
      <c r="G41" s="458"/>
      <c r="H41" s="79"/>
      <c r="I41" s="79"/>
      <c r="J41" s="79"/>
      <c r="K41" s="79"/>
    </row>
    <row r="42" spans="1:12" ht="6.75" customHeight="1">
      <c r="A42" s="453"/>
      <c r="B42" s="453"/>
      <c r="C42" s="453"/>
      <c r="D42" s="453"/>
      <c r="E42" s="453"/>
      <c r="F42" s="453"/>
      <c r="G42" s="453"/>
    </row>
    <row r="43" spans="1:12" ht="13.5" customHeight="1">
      <c r="A43" s="531" t="s">
        <v>49</v>
      </c>
      <c r="B43" s="532"/>
      <c r="C43" s="532"/>
      <c r="D43" s="532"/>
      <c r="E43" s="532"/>
      <c r="F43" s="532"/>
      <c r="G43" s="533"/>
    </row>
    <row r="44" spans="1:12" s="79" customFormat="1" ht="7.5" customHeight="1">
      <c r="A44" s="529"/>
      <c r="B44" s="457"/>
      <c r="C44" s="457"/>
      <c r="D44" s="457"/>
      <c r="E44" s="457"/>
      <c r="F44" s="457"/>
      <c r="G44" s="530"/>
      <c r="L44" s="348"/>
    </row>
    <row r="45" spans="1:12" s="79" customFormat="1" ht="15.75" customHeight="1">
      <c r="A45" s="477" t="s">
        <v>234</v>
      </c>
      <c r="B45" s="478"/>
      <c r="C45" s="478"/>
      <c r="D45" s="478"/>
      <c r="E45" s="478"/>
      <c r="F45" s="478"/>
      <c r="G45" s="479"/>
      <c r="L45" s="348"/>
    </row>
    <row r="46" spans="1:12" s="79" customFormat="1" ht="6.75" customHeight="1">
      <c r="A46" s="505"/>
      <c r="B46" s="506"/>
      <c r="C46" s="506"/>
      <c r="D46" s="506"/>
      <c r="E46" s="506"/>
      <c r="F46" s="506"/>
      <c r="G46" s="507"/>
      <c r="L46" s="348"/>
    </row>
    <row r="47" spans="1:12" ht="13.5" customHeight="1">
      <c r="A47" s="505" t="s">
        <v>707</v>
      </c>
      <c r="B47" s="506"/>
      <c r="C47" s="506"/>
      <c r="D47" s="506"/>
      <c r="E47" s="506"/>
      <c r="F47" s="506"/>
      <c r="G47" s="507"/>
    </row>
    <row r="48" spans="1:12" ht="13.5" customHeight="1">
      <c r="A48" s="505" t="s">
        <v>706</v>
      </c>
      <c r="B48" s="506"/>
      <c r="C48" s="506"/>
      <c r="D48" s="506"/>
      <c r="E48" s="506"/>
      <c r="F48" s="506"/>
      <c r="G48" s="507"/>
    </row>
    <row r="49" spans="1:12" ht="13.5" customHeight="1">
      <c r="A49" s="523" t="s">
        <v>705</v>
      </c>
      <c r="B49" s="524"/>
      <c r="C49" s="524"/>
      <c r="D49" s="524"/>
      <c r="E49" s="524"/>
      <c r="F49" s="524"/>
      <c r="G49" s="525"/>
      <c r="I49" s="120"/>
      <c r="J49" s="120"/>
      <c r="K49" s="120"/>
    </row>
    <row r="50" spans="1:12" ht="13.5" customHeight="1">
      <c r="A50" s="523" t="s">
        <v>708</v>
      </c>
      <c r="B50" s="524"/>
      <c r="C50" s="524"/>
      <c r="D50" s="524"/>
      <c r="E50" s="524"/>
      <c r="F50" s="524"/>
      <c r="G50" s="525"/>
    </row>
    <row r="51" spans="1:12" ht="13.5" customHeight="1">
      <c r="A51" s="523" t="s">
        <v>711</v>
      </c>
      <c r="B51" s="524"/>
      <c r="C51" s="524"/>
      <c r="D51" s="524"/>
      <c r="E51" s="524"/>
      <c r="F51" s="524"/>
      <c r="G51" s="525"/>
    </row>
    <row r="52" spans="1:12" ht="13.5" customHeight="1">
      <c r="A52" s="523" t="s">
        <v>709</v>
      </c>
      <c r="B52" s="524"/>
      <c r="C52" s="524"/>
      <c r="D52" s="524"/>
      <c r="E52" s="524"/>
      <c r="F52" s="524"/>
      <c r="G52" s="525"/>
    </row>
    <row r="53" spans="1:12" ht="13.5" customHeight="1">
      <c r="A53" s="523" t="s">
        <v>710</v>
      </c>
      <c r="B53" s="524"/>
      <c r="C53" s="524"/>
      <c r="D53" s="524"/>
      <c r="E53" s="524"/>
      <c r="F53" s="524"/>
      <c r="G53" s="525"/>
    </row>
    <row r="54" spans="1:12" s="79" customFormat="1" ht="6.75" customHeight="1">
      <c r="A54" s="523"/>
      <c r="B54" s="524"/>
      <c r="C54" s="524"/>
      <c r="D54" s="524"/>
      <c r="E54" s="524"/>
      <c r="F54" s="524"/>
      <c r="G54" s="525"/>
      <c r="L54" s="120"/>
    </row>
    <row r="55" spans="1:12" s="79" customFormat="1" ht="21">
      <c r="A55" s="85" t="s">
        <v>118</v>
      </c>
      <c r="B55" s="136">
        <f>$B$1</f>
        <v>1</v>
      </c>
      <c r="C55" s="86" t="s">
        <v>40</v>
      </c>
      <c r="D55" s="87" t="str">
        <f>$E$1</f>
        <v>無限回</v>
      </c>
      <c r="E55" s="465" t="str">
        <f>$B$2</f>
        <v>テンペスト･アソールト</v>
      </c>
      <c r="F55" s="466"/>
      <c r="G55" s="467"/>
      <c r="L55" s="120"/>
    </row>
    <row r="56" spans="1:12" s="79" customFormat="1" ht="13.5" customHeight="1">
      <c r="A56" s="120"/>
      <c r="B56" s="120"/>
      <c r="C56" s="120"/>
      <c r="D56" s="120"/>
      <c r="L56" s="120"/>
    </row>
    <row r="57" spans="1:12" s="79" customFormat="1" ht="13.5" customHeight="1">
      <c r="A57" s="120"/>
      <c r="B57" s="120"/>
      <c r="C57" s="120"/>
      <c r="D57" s="120"/>
      <c r="L57" s="120"/>
    </row>
    <row r="58" spans="1:12" s="79" customFormat="1" ht="13.5" customHeight="1">
      <c r="A58" s="120"/>
      <c r="B58" s="120"/>
      <c r="C58" s="120"/>
      <c r="D58" s="120"/>
      <c r="L58" s="120"/>
    </row>
    <row r="59" spans="1:12" s="79" customFormat="1" ht="13.5" customHeight="1">
      <c r="A59" s="120"/>
      <c r="B59" s="120"/>
      <c r="C59" s="120"/>
      <c r="D59" s="120"/>
      <c r="L59" s="120"/>
    </row>
    <row r="60" spans="1:12" s="79" customFormat="1" ht="13.5" customHeight="1">
      <c r="A60" s="120"/>
      <c r="B60" s="120"/>
      <c r="C60" s="120"/>
      <c r="D60" s="120"/>
      <c r="L60" s="120"/>
    </row>
    <row r="61" spans="1:12" s="79" customFormat="1" ht="13.5" customHeight="1">
      <c r="A61" s="120"/>
      <c r="B61" s="120"/>
      <c r="C61" s="120"/>
      <c r="D61" s="120"/>
      <c r="L61" s="120"/>
    </row>
    <row r="62" spans="1:12" s="79" customFormat="1" ht="6" customHeight="1">
      <c r="A62" s="120"/>
      <c r="B62" s="120"/>
      <c r="C62" s="120"/>
      <c r="D62" s="120"/>
      <c r="L62" s="120"/>
    </row>
    <row r="63" spans="1:12" s="79" customFormat="1">
      <c r="A63" s="120"/>
      <c r="B63" s="120"/>
      <c r="C63" s="120"/>
      <c r="D63" s="120"/>
      <c r="L63" s="120"/>
    </row>
  </sheetData>
  <mergeCells count="59">
    <mergeCell ref="A29:G29"/>
    <mergeCell ref="A30:G30"/>
    <mergeCell ref="H4:M4"/>
    <mergeCell ref="N4:S4"/>
    <mergeCell ref="P9:Q9"/>
    <mergeCell ref="P11:Q11"/>
    <mergeCell ref="J11:K11"/>
    <mergeCell ref="B6:D6"/>
    <mergeCell ref="B16:G16"/>
    <mergeCell ref="B7:D7"/>
    <mergeCell ref="B8:G8"/>
    <mergeCell ref="B9:G9"/>
    <mergeCell ref="B10:G10"/>
    <mergeCell ref="B12:G12"/>
    <mergeCell ref="B13:G13"/>
    <mergeCell ref="A22:A23"/>
    <mergeCell ref="B1:C1"/>
    <mergeCell ref="F1:G1"/>
    <mergeCell ref="B2:G2"/>
    <mergeCell ref="B4:G4"/>
    <mergeCell ref="B5:G5"/>
    <mergeCell ref="A36:G36"/>
    <mergeCell ref="A37:G37"/>
    <mergeCell ref="A24:A25"/>
    <mergeCell ref="A48:G48"/>
    <mergeCell ref="A42:G42"/>
    <mergeCell ref="A43:G43"/>
    <mergeCell ref="A41:G41"/>
    <mergeCell ref="A47:G47"/>
    <mergeCell ref="A38:G38"/>
    <mergeCell ref="A31:G31"/>
    <mergeCell ref="A32:G32"/>
    <mergeCell ref="A33:G33"/>
    <mergeCell ref="A34:G34"/>
    <mergeCell ref="A35:G35"/>
    <mergeCell ref="A27:G27"/>
    <mergeCell ref="A28:G28"/>
    <mergeCell ref="E55:G55"/>
    <mergeCell ref="A49:G49"/>
    <mergeCell ref="A50:G50"/>
    <mergeCell ref="A51:G51"/>
    <mergeCell ref="A52:G52"/>
    <mergeCell ref="A53:G53"/>
    <mergeCell ref="A54:G54"/>
    <mergeCell ref="A26:G26"/>
    <mergeCell ref="J9:K9"/>
    <mergeCell ref="B11:G11"/>
    <mergeCell ref="A20:A21"/>
    <mergeCell ref="C20:C21"/>
    <mergeCell ref="A18:C19"/>
    <mergeCell ref="D18:E18"/>
    <mergeCell ref="F18:G18"/>
    <mergeCell ref="B14:G14"/>
    <mergeCell ref="B15:G15"/>
    <mergeCell ref="A39:G39"/>
    <mergeCell ref="A40:G40"/>
    <mergeCell ref="A44:G44"/>
    <mergeCell ref="A45:G45"/>
    <mergeCell ref="A46:G46"/>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K8</xm:sqref>
        </x14:dataValidation>
        <x14:dataValidation type="list" allowBlank="1" showInputMessage="1" showErrorMessage="1">
          <x14:formula1>
            <xm:f>基本!$D$27:$D$31</xm:f>
          </x14:formula1>
          <xm:sqref>I7</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S56"/>
  <sheetViews>
    <sheetView zoomScaleNormal="100" workbookViewId="0">
      <selection activeCell="B2" sqref="B2:G2"/>
    </sheetView>
  </sheetViews>
  <sheetFormatPr defaultRowHeight="13.5"/>
  <cols>
    <col min="1" max="1" width="7.875" style="120" customWidth="1"/>
    <col min="2" max="2" width="8.5" style="120" customWidth="1"/>
    <col min="3" max="3" width="6.625" style="120" customWidth="1"/>
    <col min="4" max="4" width="15.75" style="120" customWidth="1"/>
    <col min="5" max="6" width="15.75" style="79" customWidth="1"/>
    <col min="7" max="7" width="18.25" style="79" customWidth="1"/>
    <col min="8" max="8" width="17.375" style="79" customWidth="1"/>
    <col min="9" max="9" width="14.625" style="79" customWidth="1"/>
    <col min="10" max="10" width="8.375" style="79" customWidth="1"/>
    <col min="11" max="11" width="7.5" style="79" customWidth="1"/>
    <col min="12" max="12" width="7.875" style="120" customWidth="1"/>
    <col min="13" max="13" width="9.25" style="120" customWidth="1"/>
    <col min="14" max="14" width="12.375" style="120" customWidth="1"/>
    <col min="15" max="16384" width="9" style="120"/>
  </cols>
  <sheetData>
    <row r="1" spans="1:19" ht="21">
      <c r="A1" s="39" t="s">
        <v>118</v>
      </c>
      <c r="B1" s="573">
        <v>3</v>
      </c>
      <c r="C1" s="574"/>
      <c r="D1" s="40" t="s">
        <v>40</v>
      </c>
      <c r="E1" s="41" t="s">
        <v>115</v>
      </c>
      <c r="F1" s="575"/>
      <c r="G1" s="576"/>
      <c r="H1" s="84" t="s">
        <v>55</v>
      </c>
    </row>
    <row r="2" spans="1:19" ht="24.75" customHeight="1">
      <c r="A2" s="40" t="s">
        <v>0</v>
      </c>
      <c r="B2" s="577" t="s">
        <v>145</v>
      </c>
      <c r="C2" s="577"/>
      <c r="D2" s="577"/>
      <c r="E2" s="577"/>
      <c r="F2" s="577"/>
      <c r="G2" s="577"/>
      <c r="H2" s="84" t="s">
        <v>56</v>
      </c>
    </row>
    <row r="3" spans="1:19" ht="19.5" customHeight="1">
      <c r="A3" s="90" t="s">
        <v>48</v>
      </c>
      <c r="B3" s="79"/>
      <c r="C3" s="79"/>
      <c r="D3" s="79"/>
      <c r="I3" s="84"/>
    </row>
    <row r="4" spans="1:19">
      <c r="A4" s="67" t="s">
        <v>46</v>
      </c>
      <c r="B4" s="480" t="s">
        <v>146</v>
      </c>
      <c r="C4" s="481"/>
      <c r="D4" s="481"/>
      <c r="E4" s="481"/>
      <c r="F4" s="481"/>
      <c r="G4" s="482"/>
      <c r="H4" s="394" t="s">
        <v>646</v>
      </c>
      <c r="I4" s="395"/>
      <c r="J4" s="395"/>
      <c r="K4" s="395"/>
      <c r="L4" s="395"/>
      <c r="M4" s="396"/>
      <c r="N4" s="394" t="s">
        <v>646</v>
      </c>
      <c r="O4" s="395"/>
      <c r="P4" s="395"/>
      <c r="Q4" s="395"/>
      <c r="R4" s="395"/>
      <c r="S4" s="396"/>
    </row>
    <row r="5" spans="1:19">
      <c r="A5" s="68" t="s">
        <v>39</v>
      </c>
      <c r="B5" s="480" t="s">
        <v>174</v>
      </c>
      <c r="C5" s="481"/>
      <c r="D5" s="481"/>
      <c r="E5" s="481"/>
      <c r="F5" s="481"/>
      <c r="G5" s="482"/>
      <c r="H5" s="330" t="s">
        <v>43</v>
      </c>
      <c r="I5" s="332" t="s">
        <v>69</v>
      </c>
      <c r="J5" s="332" t="s">
        <v>100</v>
      </c>
      <c r="N5" s="330" t="s">
        <v>43</v>
      </c>
      <c r="O5" s="332" t="s">
        <v>71</v>
      </c>
      <c r="P5" s="332" t="s">
        <v>100</v>
      </c>
      <c r="Q5" s="79"/>
    </row>
    <row r="6" spans="1:19">
      <c r="A6" s="68" t="s">
        <v>7</v>
      </c>
      <c r="B6" s="480" t="s">
        <v>5</v>
      </c>
      <c r="C6" s="481"/>
      <c r="D6" s="482"/>
      <c r="E6" s="129" t="s">
        <v>43</v>
      </c>
      <c r="F6" s="130" t="str">
        <f>$I$5</f>
        <v>近接</v>
      </c>
      <c r="G6" s="130" t="str">
        <f>IF($J$5 = 0,"", $J$5)</f>
        <v>武器</v>
      </c>
      <c r="H6" s="330" t="s">
        <v>66</v>
      </c>
      <c r="I6" s="332"/>
      <c r="J6" s="332"/>
      <c r="N6" s="330" t="s">
        <v>66</v>
      </c>
      <c r="O6" s="332"/>
      <c r="P6" s="332"/>
      <c r="Q6" s="79"/>
    </row>
    <row r="7" spans="1:19">
      <c r="A7" s="69" t="s">
        <v>6</v>
      </c>
      <c r="B7" s="480" t="s">
        <v>91</v>
      </c>
      <c r="C7" s="481"/>
      <c r="D7" s="482"/>
      <c r="E7" s="129" t="s">
        <v>66</v>
      </c>
      <c r="F7" s="130" t="str">
        <f>IF($I$6 = 0,"", $I$6)</f>
        <v/>
      </c>
      <c r="G7" s="130" t="str">
        <f>IF($J$6 = 0,"", $J$6)</f>
        <v/>
      </c>
      <c r="H7" s="330" t="s">
        <v>85</v>
      </c>
      <c r="I7" s="332" t="s">
        <v>116</v>
      </c>
      <c r="J7" s="84" t="s">
        <v>62</v>
      </c>
      <c r="L7" s="176" t="s">
        <v>318</v>
      </c>
      <c r="N7" s="330" t="s">
        <v>85</v>
      </c>
      <c r="O7" s="332" t="s">
        <v>525</v>
      </c>
      <c r="P7" s="84" t="s">
        <v>62</v>
      </c>
      <c r="Q7" s="79"/>
      <c r="R7" s="176" t="s">
        <v>318</v>
      </c>
    </row>
    <row r="8" spans="1:19">
      <c r="A8" s="70" t="s">
        <v>61</v>
      </c>
      <c r="B8" s="567" t="s">
        <v>147</v>
      </c>
      <c r="C8" s="568"/>
      <c r="D8" s="568"/>
      <c r="E8" s="568"/>
      <c r="F8" s="568"/>
      <c r="G8" s="569"/>
      <c r="H8" s="330" t="s">
        <v>51</v>
      </c>
      <c r="I8" s="332" t="s">
        <v>12</v>
      </c>
      <c r="J8" s="331">
        <f>IF($I$8 = "筋力",基本!$C$5,IF($I$8 = "耐久力",基本!$C$6,IF($I$8 = "敏捷力",基本!$C$7,IF($I$8 = "知力",基本!$C$8,IF($I$8 = "判断力",基本!$C$9,IF($I$8 = "魅力",基本!$C$10,""))))))</f>
        <v>6</v>
      </c>
      <c r="K8" s="332" t="s">
        <v>90</v>
      </c>
      <c r="L8" s="177">
        <f>$J$8+$L$9+$I$9</f>
        <v>22</v>
      </c>
      <c r="N8" s="330" t="s">
        <v>51</v>
      </c>
      <c r="O8" s="332" t="s">
        <v>12</v>
      </c>
      <c r="P8" s="331">
        <f>IF(O8="",0,VLOOKUP(O8,基本!$A$5:'基本'!$C$10,3,FALSE))</f>
        <v>6</v>
      </c>
      <c r="Q8" s="332" t="s">
        <v>90</v>
      </c>
      <c r="R8" s="177">
        <f>$P$8+$O$9+$R$9</f>
        <v>22</v>
      </c>
    </row>
    <row r="9" spans="1:19" ht="14.25" customHeight="1">
      <c r="A9" s="71"/>
      <c r="B9" s="505" t="s">
        <v>148</v>
      </c>
      <c r="C9" s="506"/>
      <c r="D9" s="506"/>
      <c r="E9" s="506"/>
      <c r="F9" s="506"/>
      <c r="G9" s="507"/>
      <c r="H9" s="330" t="s">
        <v>58</v>
      </c>
      <c r="I9" s="332">
        <v>0</v>
      </c>
      <c r="J9" s="394" t="s">
        <v>53</v>
      </c>
      <c r="K9" s="396"/>
      <c r="L9" s="331">
        <f>IF($I$7=基本!$F$4,基本!$P$7,IF($I$7=基本!$F$13,基本!$P$16,IF($I$7=基本!$F$22,基本!$P$25,IF($I$7=基本!$F$31,基本!$P$34,IF($I$7=基本!$F$40,基本!$P$43,0)))))</f>
        <v>16</v>
      </c>
      <c r="N9" s="330" t="s">
        <v>58</v>
      </c>
      <c r="O9" s="332">
        <v>0</v>
      </c>
      <c r="P9" s="394" t="s">
        <v>53</v>
      </c>
      <c r="Q9" s="396"/>
      <c r="R9" s="331">
        <f>IF($O$7=基本!$F$4,基本!$P$7,IF($O$7=基本!$F$13,基本!$P$16,IF($O$7=基本!$F$22,基本!$P$25,IF($O$7=基本!$F$31,基本!$P$34,IF($O$7=基本!$F$40,基本!$P$43,0)))))</f>
        <v>16</v>
      </c>
    </row>
    <row r="10" spans="1:19" ht="14.25" customHeight="1">
      <c r="A10" s="69" t="s">
        <v>8</v>
      </c>
      <c r="B10" s="480" t="s">
        <v>275</v>
      </c>
      <c r="C10" s="481"/>
      <c r="D10" s="481"/>
      <c r="E10" s="481"/>
      <c r="F10" s="481"/>
      <c r="G10" s="482"/>
      <c r="H10" s="328" t="s">
        <v>52</v>
      </c>
      <c r="I10" s="332" t="s">
        <v>12</v>
      </c>
      <c r="J10" s="88">
        <f>IF(I10 = "筋力",基本!$C$5,IF(I10 = "耐久力",基本!$C$6,IF(I10 = "敏捷力",基本!$C$7,IF(I10 = "知力",基本!$C$8,IF(I10 = "判断力",基本!$C$9,IF(I10 = "魅力",基本!$C$10,""))))))</f>
        <v>6</v>
      </c>
      <c r="K10" s="332" t="s">
        <v>16</v>
      </c>
      <c r="L10" s="88">
        <f>IF(K10 = "筋力",基本!$C$5,IF(K10 = "耐久力",基本!$C$6,IF(K10 = "敏捷力",基本!$C$7,IF(K10 = "知力",基本!$C$8,IF(K10 = "判断力",基本!$C$9,IF(K10 = "魅力",基本!$C$10,""))))))</f>
        <v>6</v>
      </c>
      <c r="N10" s="328" t="s">
        <v>52</v>
      </c>
      <c r="O10" s="332" t="s">
        <v>12</v>
      </c>
      <c r="P10" s="88">
        <f>IF(O10 = "筋力",基本!$C$5,IF(O10 = "耐久力",基本!$C$6,IF(O10 = "敏捷力",基本!$C$7,IF(O10 = "知力",基本!$C$8,IF(O10 = "判断力",基本!$C$9,IF(O10 = "魅力",基本!$C$10,""))))))</f>
        <v>6</v>
      </c>
      <c r="Q10" s="332" t="s">
        <v>16</v>
      </c>
      <c r="R10" s="88">
        <f>IF(Q10 = "筋力",基本!$C$5,IF(Q10 = "耐久力",基本!$C$6,IF(Q10 = "敏捷力",基本!$C$7,IF(Q10 = "知力",基本!$C$8,IF(Q10 = "判断力",基本!$C$9,IF(Q10 = "魅力",基本!$C$10,""))))))</f>
        <v>6</v>
      </c>
    </row>
    <row r="11" spans="1:19" ht="14.25" customHeight="1">
      <c r="A11" s="71" t="s">
        <v>9</v>
      </c>
      <c r="B11" s="505" t="s">
        <v>279</v>
      </c>
      <c r="C11" s="506"/>
      <c r="D11" s="506"/>
      <c r="E11" s="506"/>
      <c r="F11" s="506"/>
      <c r="G11" s="507"/>
      <c r="H11" s="330" t="s">
        <v>59</v>
      </c>
      <c r="I11" s="332">
        <v>0</v>
      </c>
      <c r="J11" s="394" t="s">
        <v>54</v>
      </c>
      <c r="K11" s="396"/>
      <c r="L11" s="331">
        <f>IF($I$7=基本!$F$4,基本!$P$9,IF($I$7=基本!$F$13,基本!$P$18,IF($I$7=基本!$F$22,基本!$P$27,IF($I$7=基本!$F$31,基本!$P$36,IF($I$7=基本!$F$40,基本!$P$45,0)))))</f>
        <v>6</v>
      </c>
      <c r="N11" s="330" t="s">
        <v>59</v>
      </c>
      <c r="O11" s="332">
        <v>0</v>
      </c>
      <c r="P11" s="394" t="s">
        <v>643</v>
      </c>
      <c r="Q11" s="396"/>
      <c r="R11" s="331">
        <f>IF($O$7=基本!$F$4,基本!$P$9,IF($O$7=基本!$F$13,基本!$P$18,IF($O$7=基本!$F$22,基本!$P$27,IF($O$7=基本!$F$31,基本!$P$36,IF($O$7=基本!$F$40,基本!$P$45,0)))))</f>
        <v>6</v>
      </c>
    </row>
    <row r="12" spans="1:19" ht="7.5" customHeight="1">
      <c r="A12" s="71"/>
      <c r="B12" s="505"/>
      <c r="C12" s="506"/>
      <c r="D12" s="506"/>
      <c r="E12" s="506"/>
      <c r="F12" s="506"/>
      <c r="G12" s="507"/>
      <c r="H12" s="329" t="s">
        <v>319</v>
      </c>
      <c r="I12" s="332">
        <v>2</v>
      </c>
      <c r="J12" s="120"/>
      <c r="K12" s="120"/>
      <c r="L12" s="176" t="s">
        <v>318</v>
      </c>
      <c r="M12" s="334" t="s">
        <v>60</v>
      </c>
      <c r="N12" s="329" t="s">
        <v>319</v>
      </c>
      <c r="O12" s="332">
        <v>2</v>
      </c>
      <c r="R12" s="176" t="s">
        <v>318</v>
      </c>
      <c r="S12" s="334" t="s">
        <v>60</v>
      </c>
    </row>
    <row r="13" spans="1:19" ht="7.5" customHeight="1">
      <c r="A13" s="71"/>
      <c r="B13" s="483"/>
      <c r="C13" s="472"/>
      <c r="D13" s="472"/>
      <c r="E13" s="472"/>
      <c r="F13" s="472"/>
      <c r="G13" s="484"/>
      <c r="H13" s="329" t="s">
        <v>86</v>
      </c>
      <c r="I13" s="32">
        <f>IF($I$7=基本!$F$4,基本!$F$9,IF($I$7=基本!$F$13,基本!$F$18,IF($I$7=基本!$F$22,基本!$F$27,IF($I$7=基本!$F$31,基本!$F$36,IF($I$7=基本!$F$40,基本!$F$45,0)))))*$I$12</f>
        <v>2</v>
      </c>
      <c r="J13" s="330" t="s">
        <v>44</v>
      </c>
      <c r="K13" s="32">
        <f>IF($I$7=基本!$F$4,基本!$H$9,IF($I$7=基本!$F$13,基本!$H$18,IF($I$7=基本!$F$22,基本!$H$27,IF($I$7=基本!$F$31,基本!$H$36,IF($I$7=基本!$F$40,基本!$H$45,0)))))</f>
        <v>10</v>
      </c>
      <c r="L13" s="177">
        <f>$J$10+$L$11+$I$11</f>
        <v>12</v>
      </c>
      <c r="M13" s="332"/>
      <c r="N13" s="329" t="s">
        <v>644</v>
      </c>
      <c r="O13" s="42">
        <f>IF($O$7=基本!$F$4,基本!$F$9,IF($O$7=基本!$F$13,基本!$F$18,IF($O$7=基本!$F$22,基本!$F$27,IF($O$7=基本!$F$31,基本!$F$36,IF($O$7=基本!$F$40,基本!$F$45,0)))))*$O$12</f>
        <v>2</v>
      </c>
      <c r="P13" s="330" t="s">
        <v>645</v>
      </c>
      <c r="Q13" s="42">
        <f>IF($O$7=基本!$F$4,基本!$H$9,IF($O$7=基本!$F$13,基本!$H$18,IF($O$7=基本!$F$22,基本!$H$27,IF($O$7=基本!$F$31,基本!$H$36,IF($O$7=基本!$F$40,基本!$H$45,0)))))</f>
        <v>6</v>
      </c>
      <c r="R13" s="177">
        <f>$P$10+$O$11+$R$11</f>
        <v>12</v>
      </c>
      <c r="S13" s="332"/>
    </row>
    <row r="14" spans="1:19" ht="25.5">
      <c r="A14" s="92"/>
      <c r="B14" s="570" t="str">
        <f>"攻撃前に "&amp; $L$10+4 &amp;" マスシフト"</f>
        <v>攻撃前に 10 マスシフト</v>
      </c>
      <c r="C14" s="571"/>
      <c r="D14" s="571"/>
      <c r="E14" s="571"/>
      <c r="F14" s="571"/>
      <c r="G14" s="572"/>
      <c r="H14" s="330" t="s">
        <v>50</v>
      </c>
      <c r="I14" s="32">
        <f>IF($I$7=基本!$F$4,基本!$L$11,IF($I$7=基本!$F$13,基本!$L$20,IF($I$7=基本!$F$22,基本!$L$29,IF($I$7=基本!$F$31,基本!$L$38,IF($I$7=基本!$F$40,基本!$L$47,0)))))</f>
        <v>4</v>
      </c>
      <c r="J14" s="330" t="s">
        <v>44</v>
      </c>
      <c r="K14" s="32">
        <f>IF($I$7=基本!$F$4,基本!$N$11,IF($I$7=基本!$F$13,基本!$N$20,IF($I$7=基本!$F$22,基本!$N$29,IF($I$7=基本!$F$31,基本!$N$38,IF($I$7=基本!$F$40,基本!$N$47,0)))))</f>
        <v>8</v>
      </c>
      <c r="L14" s="177">
        <f>$J$10+$L$11+$I$11+($I$13*$K$13)</f>
        <v>32</v>
      </c>
      <c r="M14" s="332"/>
      <c r="N14" s="330" t="s">
        <v>50</v>
      </c>
      <c r="O14" s="42">
        <f>IF($O$7=基本!$F$4,基本!$L$11,IF($O$7=基本!$F$13,基本!$L$20,IF($O$7=基本!$F$22,基本!$L$29,IF($O$7=基本!$F$31,基本!$L$38,IF($O$7=基本!$F$40,基本!$L$47,0)))))</f>
        <v>4</v>
      </c>
      <c r="P14" s="330" t="s">
        <v>645</v>
      </c>
      <c r="Q14" s="42">
        <f>IF($O$7=基本!$F$4,基本!$N$11,IF($O$7=基本!$F$13,基本!$N$20,IF($O$7=基本!$F$22,基本!$N$29,IF($O$7=基本!$F$31,基本!$N$38,IF($O$7=基本!$F$40,基本!$N$47,0)))))</f>
        <v>6</v>
      </c>
      <c r="R14" s="177">
        <f>$P$10+$R$11+$O$11+($O$13*$Q$13)</f>
        <v>24</v>
      </c>
      <c r="S14" s="332"/>
    </row>
    <row r="15" spans="1:19" ht="8.25" customHeight="1">
      <c r="A15" s="71"/>
      <c r="B15" s="505"/>
      <c r="C15" s="506"/>
      <c r="D15" s="506"/>
      <c r="E15" s="506"/>
      <c r="F15" s="506"/>
      <c r="G15" s="507"/>
      <c r="H15" s="120"/>
      <c r="I15" s="120"/>
      <c r="J15" s="120"/>
      <c r="K15" s="120"/>
    </row>
    <row r="16" spans="1:19" ht="8.25" customHeight="1">
      <c r="A16" s="72"/>
      <c r="B16" s="452"/>
      <c r="C16" s="453"/>
      <c r="D16" s="453"/>
      <c r="E16" s="453"/>
      <c r="F16" s="453"/>
      <c r="G16" s="454"/>
      <c r="H16" s="120"/>
      <c r="I16" s="120"/>
      <c r="J16" s="120"/>
      <c r="K16" s="120"/>
    </row>
    <row r="17" spans="1:11" ht="14.25" thickBot="1">
      <c r="A17" s="113" t="s">
        <v>47</v>
      </c>
      <c r="E17" s="80"/>
      <c r="H17" s="120"/>
      <c r="I17" s="120"/>
      <c r="J17" s="120"/>
      <c r="K17" s="120"/>
    </row>
    <row r="18" spans="1:11" ht="15" customHeight="1">
      <c r="A18" s="558" t="str">
        <f>$B$2</f>
        <v>プレシング・アタック</v>
      </c>
      <c r="B18" s="559"/>
      <c r="C18" s="560"/>
      <c r="D18" s="550" t="s">
        <v>2</v>
      </c>
      <c r="E18" s="551"/>
      <c r="F18" s="552" t="s">
        <v>525</v>
      </c>
      <c r="G18" s="553"/>
      <c r="H18" s="120"/>
      <c r="I18" s="120"/>
      <c r="J18" s="120"/>
      <c r="K18" s="120"/>
    </row>
    <row r="19" spans="1:11" ht="18.75" customHeight="1" thickBot="1">
      <c r="A19" s="561"/>
      <c r="B19" s="562"/>
      <c r="C19" s="563"/>
      <c r="D19" s="190" t="s">
        <v>2</v>
      </c>
      <c r="E19" s="191" t="s">
        <v>1</v>
      </c>
      <c r="F19" s="190" t="s">
        <v>2</v>
      </c>
      <c r="G19" s="343" t="s">
        <v>1</v>
      </c>
      <c r="H19" s="120"/>
      <c r="I19" s="120"/>
      <c r="J19" s="120"/>
      <c r="K19" s="120"/>
    </row>
    <row r="20" spans="1:11" ht="21" customHeight="1">
      <c r="A20" s="540" t="s">
        <v>42</v>
      </c>
      <c r="B20" s="186" t="s">
        <v>117</v>
      </c>
      <c r="C20" s="542" t="str">
        <f>$K$8</f>
        <v>AC</v>
      </c>
      <c r="D20" s="185" t="str">
        <f>$L$8 &amp; "+1d20"</f>
        <v>22+1d20</v>
      </c>
      <c r="E20" s="198" t="str">
        <f>$L$8+2 &amp; "+1d20"</f>
        <v>24+1d20</v>
      </c>
      <c r="F20" s="185" t="str">
        <f>$R$8 &amp; "+1d20"</f>
        <v>22+1d20</v>
      </c>
      <c r="G20" s="344" t="str">
        <f>$R$8+2 &amp; "+1d20"</f>
        <v>24+1d20</v>
      </c>
      <c r="H20" s="120"/>
      <c r="I20" s="120"/>
      <c r="J20" s="120"/>
      <c r="K20" s="120"/>
    </row>
    <row r="21" spans="1:11" ht="24" customHeight="1" thickBot="1">
      <c r="A21" s="541"/>
      <c r="B21" s="345" t="s">
        <v>668</v>
      </c>
      <c r="C21" s="543"/>
      <c r="D21" s="199" t="str">
        <f>3+$L$8 &amp; "+1d20"</f>
        <v>25+1d20</v>
      </c>
      <c r="E21" s="346" t="str">
        <f>3+$L$8+2 &amp; "+1d20"</f>
        <v>27+1d20</v>
      </c>
      <c r="F21" s="199" t="str">
        <f>3+$R$8 &amp; "+1d20"</f>
        <v>25+1d20</v>
      </c>
      <c r="G21" s="200" t="str">
        <f>3+$R$8+2 &amp; "+1d20"</f>
        <v>27+1d20</v>
      </c>
      <c r="H21" s="120"/>
      <c r="I21" s="120"/>
      <c r="J21" s="120"/>
      <c r="K21" s="120"/>
    </row>
    <row r="22" spans="1:11" ht="23.25" customHeight="1">
      <c r="A22" s="470" t="s">
        <v>360</v>
      </c>
      <c r="B22" s="137" t="s">
        <v>361</v>
      </c>
      <c r="C22" s="335" t="str">
        <f>IF($M$13 = 0,"", $M$13)</f>
        <v/>
      </c>
      <c r="D22" s="56" t="str">
        <f>-2+$L$13 &amp; "+" &amp; $I$13 &amp; "d" &amp; $K$13</f>
        <v>10+2d10</v>
      </c>
      <c r="E22" s="56" t="str">
        <f>-2+$L$13 &amp; "+" &amp; $I$13 &amp; "d" &amp; $K$13</f>
        <v>10+2d10</v>
      </c>
      <c r="F22" s="56" t="str">
        <f>-2+$R$13 &amp; "+" &amp; $O$13 &amp; "d" &amp; $Q$13</f>
        <v>10+2d6</v>
      </c>
      <c r="G22" s="57" t="str">
        <f>-2+$R$13 &amp; "+" &amp; $O$13 &amp; "d" &amp; $Q$13</f>
        <v>10+2d6</v>
      </c>
      <c r="H22" s="120"/>
      <c r="I22" s="120"/>
      <c r="J22" s="120"/>
      <c r="K22" s="120"/>
    </row>
    <row r="23" spans="1:11" ht="23.25" customHeight="1" thickBot="1">
      <c r="A23" s="471"/>
      <c r="B23" s="148" t="s">
        <v>362</v>
      </c>
      <c r="C23" s="347" t="str">
        <f>IF($M$14 = 0,"", $M$14)</f>
        <v/>
      </c>
      <c r="D23" s="150" t="str">
        <f>-2+$L$14 &amp; IF($I$14 =0,"","＆別の敵へ" &amp; $I$14 &amp; "d" &amp; $K$14)</f>
        <v>30＆別の敵へ4d8</v>
      </c>
      <c r="E23" s="150" t="str">
        <f t="shared" ref="E23" si="0">-2+$L$14 &amp; IF($I$14 =0,"","＆別の敵へ" &amp; $I$14 &amp; "d" &amp; $K$14)</f>
        <v>30＆別の敵へ4d8</v>
      </c>
      <c r="F23" s="150" t="str">
        <f>-2+$R$14 &amp; IF($O$14 = 0,"","+" &amp; $O$14 &amp; "d" &amp; $Q$14)</f>
        <v>22+4d6</v>
      </c>
      <c r="G23" s="305" t="str">
        <f>-2+$R$14 &amp; IF($O$14 = 0,"","+" &amp; $O$14 &amp; "d" &amp; $Q$14)</f>
        <v>22+4d6</v>
      </c>
      <c r="H23" s="120"/>
      <c r="I23" s="120"/>
      <c r="J23" s="120"/>
      <c r="K23" s="120"/>
    </row>
    <row r="24" spans="1:11" ht="23.25" customHeight="1">
      <c r="A24" s="455" t="s">
        <v>136</v>
      </c>
      <c r="B24" s="137" t="s">
        <v>361</v>
      </c>
      <c r="C24" s="335" t="str">
        <f>IF($M$13 = 0,"", $M$13)</f>
        <v/>
      </c>
      <c r="D24" s="56" t="str">
        <f>$L$13 &amp; "+" &amp; $I$13 &amp; "d" &amp; $K$13</f>
        <v>12+2d10</v>
      </c>
      <c r="E24" s="56" t="str">
        <f>$L$13 &amp; "+" &amp; $I$13 &amp; "d" &amp; $K$13</f>
        <v>12+2d10</v>
      </c>
      <c r="F24" s="56" t="str">
        <f>$R$13 &amp; "+" &amp; $O$13 &amp; "d" &amp; $Q$13</f>
        <v>12+2d6</v>
      </c>
      <c r="G24" s="57" t="str">
        <f>$R$13 &amp; "+" &amp; $O$13 &amp; "d" &amp; $Q$13</f>
        <v>12+2d6</v>
      </c>
      <c r="H24" s="120"/>
      <c r="I24" s="120"/>
      <c r="J24" s="120"/>
      <c r="K24" s="120"/>
    </row>
    <row r="25" spans="1:11" ht="23.25" customHeight="1" thickBot="1">
      <c r="A25" s="557"/>
      <c r="B25" s="148" t="s">
        <v>362</v>
      </c>
      <c r="C25" s="347" t="str">
        <f>IF($M$14 = 0,"", $M$14)</f>
        <v/>
      </c>
      <c r="D25" s="333" t="str">
        <f>$L$14 &amp; IF($I$14 =0,"","＆別の敵へ" &amp; $I$14 &amp; "d" &amp; $K$14)</f>
        <v>32＆別の敵へ4d8</v>
      </c>
      <c r="E25" s="333" t="str">
        <f t="shared" ref="E25" si="1">$L$14 &amp; IF($I$14 =0,"","＆別の敵へ" &amp; $I$14 &amp; "d" &amp; $K$14)</f>
        <v>32＆別の敵へ4d8</v>
      </c>
      <c r="F25" s="333" t="str">
        <f>$R$14 &amp; IF($O$14 = 0,"","+" &amp; $O$14 &amp; "d" &amp; $Q$14)</f>
        <v>24+4d6</v>
      </c>
      <c r="G25" s="305" t="str">
        <f>$R$14 &amp; IF($O$14 = 0,"","+" &amp; $O$14 &amp; "d" &amp; $Q$14)</f>
        <v>24+4d6</v>
      </c>
      <c r="H25" s="120"/>
      <c r="I25" s="120"/>
      <c r="J25" s="120"/>
      <c r="K25" s="120"/>
    </row>
    <row r="26" spans="1:11" ht="8.25" customHeight="1">
      <c r="A26" s="472"/>
      <c r="B26" s="472"/>
      <c r="C26" s="472"/>
      <c r="D26" s="472"/>
      <c r="E26" s="472"/>
      <c r="F26" s="472"/>
      <c r="G26" s="472"/>
    </row>
    <row r="27" spans="1:11" ht="15" customHeight="1">
      <c r="A27" s="457" t="s">
        <v>676</v>
      </c>
      <c r="B27" s="457"/>
      <c r="C27" s="457"/>
      <c r="D27" s="457"/>
      <c r="E27" s="457"/>
      <c r="F27" s="457"/>
      <c r="G27" s="457"/>
      <c r="H27" s="120"/>
      <c r="I27" s="120"/>
      <c r="J27" s="120"/>
      <c r="K27" s="120"/>
    </row>
    <row r="28" spans="1:11" ht="13.5" customHeight="1">
      <c r="A28" s="458" t="s">
        <v>677</v>
      </c>
      <c r="B28" s="458"/>
      <c r="C28" s="458"/>
      <c r="D28" s="458"/>
      <c r="E28" s="458"/>
      <c r="F28" s="458"/>
      <c r="G28" s="458"/>
    </row>
    <row r="29" spans="1:11" ht="15" customHeight="1">
      <c r="A29" s="457" t="s">
        <v>263</v>
      </c>
      <c r="B29" s="457"/>
      <c r="C29" s="457"/>
      <c r="D29" s="457"/>
      <c r="E29" s="457"/>
      <c r="F29" s="457"/>
      <c r="G29" s="457"/>
      <c r="I29" s="120"/>
      <c r="J29" s="120"/>
      <c r="K29" s="120"/>
    </row>
    <row r="30" spans="1:11" ht="13.5" customHeight="1">
      <c r="A30" s="458" t="s">
        <v>264</v>
      </c>
      <c r="B30" s="458"/>
      <c r="C30" s="458"/>
      <c r="D30" s="458"/>
      <c r="E30" s="458"/>
      <c r="F30" s="458"/>
      <c r="G30" s="458"/>
    </row>
    <row r="31" spans="1:11" ht="13.5" customHeight="1">
      <c r="A31" s="458" t="s">
        <v>265</v>
      </c>
      <c r="B31" s="458"/>
      <c r="C31" s="458"/>
      <c r="D31" s="458"/>
      <c r="E31" s="458"/>
      <c r="F31" s="458"/>
      <c r="G31" s="458"/>
    </row>
    <row r="32" spans="1:11" ht="15" customHeight="1">
      <c r="A32" s="457" t="s">
        <v>532</v>
      </c>
      <c r="B32" s="457"/>
      <c r="C32" s="457"/>
      <c r="D32" s="457"/>
      <c r="E32" s="457"/>
      <c r="F32" s="457"/>
      <c r="G32" s="457"/>
      <c r="I32" s="120"/>
      <c r="J32" s="120"/>
      <c r="K32" s="120"/>
    </row>
    <row r="33" spans="1:12" ht="13.5" customHeight="1">
      <c r="A33" s="458" t="s">
        <v>533</v>
      </c>
      <c r="B33" s="458"/>
      <c r="C33" s="458"/>
      <c r="D33" s="458"/>
      <c r="E33" s="458"/>
      <c r="F33" s="458"/>
      <c r="G33" s="458"/>
    </row>
    <row r="34" spans="1:12" ht="13.5" customHeight="1">
      <c r="A34" s="458" t="s">
        <v>534</v>
      </c>
      <c r="B34" s="458"/>
      <c r="C34" s="458"/>
      <c r="D34" s="458"/>
      <c r="E34" s="458"/>
      <c r="F34" s="458"/>
      <c r="G34" s="458"/>
    </row>
    <row r="35" spans="1:12" ht="15" customHeight="1">
      <c r="A35" s="457" t="s">
        <v>497</v>
      </c>
      <c r="B35" s="457"/>
      <c r="C35" s="457"/>
      <c r="D35" s="457"/>
      <c r="E35" s="457"/>
      <c r="F35" s="457"/>
      <c r="G35" s="457"/>
      <c r="I35" s="120"/>
      <c r="J35" s="120"/>
      <c r="K35" s="120"/>
    </row>
    <row r="36" spans="1:12" ht="13.5" customHeight="1">
      <c r="A36" s="458" t="s">
        <v>412</v>
      </c>
      <c r="B36" s="458"/>
      <c r="C36" s="458"/>
      <c r="D36" s="458"/>
      <c r="E36" s="458"/>
      <c r="F36" s="458"/>
      <c r="G36" s="458"/>
    </row>
    <row r="37" spans="1:12" ht="13.5" customHeight="1">
      <c r="A37" s="458" t="s">
        <v>413</v>
      </c>
      <c r="B37" s="458"/>
      <c r="C37" s="458"/>
      <c r="D37" s="458"/>
      <c r="E37" s="458"/>
      <c r="F37" s="458"/>
      <c r="G37" s="458"/>
    </row>
    <row r="38" spans="1:12" ht="13.5" customHeight="1">
      <c r="A38" s="473" t="s">
        <v>499</v>
      </c>
      <c r="B38" s="473"/>
      <c r="C38" s="473"/>
      <c r="D38" s="473"/>
      <c r="E38" s="473"/>
      <c r="F38" s="473"/>
      <c r="G38" s="473"/>
    </row>
    <row r="39" spans="1:12" ht="13.5" customHeight="1">
      <c r="A39" s="473" t="s">
        <v>500</v>
      </c>
      <c r="B39" s="473"/>
      <c r="C39" s="473"/>
      <c r="D39" s="473"/>
      <c r="E39" s="473"/>
      <c r="F39" s="473"/>
      <c r="G39" s="473"/>
    </row>
    <row r="40" spans="1:12" ht="8.25" customHeight="1">
      <c r="A40" s="453"/>
      <c r="B40" s="453"/>
      <c r="C40" s="453"/>
      <c r="D40" s="453"/>
      <c r="E40" s="453"/>
      <c r="F40" s="453"/>
      <c r="G40" s="453"/>
    </row>
    <row r="41" spans="1:12">
      <c r="A41" s="531" t="s">
        <v>49</v>
      </c>
      <c r="B41" s="532"/>
      <c r="C41" s="532"/>
      <c r="D41" s="532"/>
      <c r="E41" s="532"/>
      <c r="F41" s="532"/>
      <c r="G41" s="533"/>
    </row>
    <row r="42" spans="1:12" s="79" customFormat="1" ht="7.5" customHeight="1">
      <c r="A42" s="529"/>
      <c r="B42" s="457"/>
      <c r="C42" s="457"/>
      <c r="D42" s="457"/>
      <c r="E42" s="457"/>
      <c r="F42" s="457"/>
      <c r="G42" s="530"/>
      <c r="L42" s="120"/>
    </row>
    <row r="43" spans="1:12" s="79" customFormat="1" ht="15.75" customHeight="1">
      <c r="A43" s="477" t="s">
        <v>234</v>
      </c>
      <c r="B43" s="478"/>
      <c r="C43" s="478"/>
      <c r="D43" s="478"/>
      <c r="E43" s="478"/>
      <c r="F43" s="478"/>
      <c r="G43" s="479"/>
      <c r="L43" s="120"/>
    </row>
    <row r="44" spans="1:12" s="79" customFormat="1" ht="10.5" customHeight="1">
      <c r="A44" s="505"/>
      <c r="B44" s="506"/>
      <c r="C44" s="506"/>
      <c r="D44" s="506"/>
      <c r="E44" s="506"/>
      <c r="F44" s="506"/>
      <c r="G44" s="507"/>
      <c r="L44" s="120"/>
    </row>
    <row r="45" spans="1:12" s="79" customFormat="1" ht="13.5" customHeight="1">
      <c r="A45" s="505" t="s">
        <v>256</v>
      </c>
      <c r="B45" s="506"/>
      <c r="C45" s="506"/>
      <c r="D45" s="506"/>
      <c r="E45" s="506"/>
      <c r="F45" s="506"/>
      <c r="G45" s="507"/>
      <c r="L45" s="120"/>
    </row>
    <row r="46" spans="1:12" s="79" customFormat="1" ht="13.5" customHeight="1">
      <c r="A46" s="505" t="s">
        <v>690</v>
      </c>
      <c r="B46" s="506"/>
      <c r="C46" s="506"/>
      <c r="D46" s="506"/>
      <c r="E46" s="506"/>
      <c r="F46" s="506"/>
      <c r="G46" s="507"/>
      <c r="L46" s="120"/>
    </row>
    <row r="47" spans="1:12" s="79" customFormat="1" ht="7.5" customHeight="1">
      <c r="A47" s="526"/>
      <c r="B47" s="527"/>
      <c r="C47" s="527"/>
      <c r="D47" s="527"/>
      <c r="E47" s="527"/>
      <c r="F47" s="527"/>
      <c r="G47" s="528"/>
      <c r="L47" s="120"/>
    </row>
    <row r="48" spans="1:12" s="79" customFormat="1" ht="13.5" customHeight="1">
      <c r="A48" s="523" t="s">
        <v>208</v>
      </c>
      <c r="B48" s="524"/>
      <c r="C48" s="524"/>
      <c r="D48" s="524"/>
      <c r="E48" s="524"/>
      <c r="F48" s="524"/>
      <c r="G48" s="525"/>
      <c r="L48" s="120"/>
    </row>
    <row r="49" spans="1:12" s="79" customFormat="1" ht="13.5" customHeight="1">
      <c r="A49" s="523" t="s">
        <v>255</v>
      </c>
      <c r="B49" s="524"/>
      <c r="C49" s="524"/>
      <c r="D49" s="524"/>
      <c r="E49" s="524"/>
      <c r="F49" s="524"/>
      <c r="G49" s="525"/>
      <c r="L49" s="120"/>
    </row>
    <row r="50" spans="1:12" s="79" customFormat="1" ht="13.5" customHeight="1">
      <c r="A50" s="523" t="s">
        <v>209</v>
      </c>
      <c r="B50" s="524"/>
      <c r="C50" s="524"/>
      <c r="D50" s="524"/>
      <c r="E50" s="524"/>
      <c r="F50" s="524"/>
      <c r="G50" s="525"/>
      <c r="L50" s="120"/>
    </row>
    <row r="51" spans="1:12" s="79" customFormat="1" ht="7.5" customHeight="1">
      <c r="A51" s="505"/>
      <c r="B51" s="506"/>
      <c r="C51" s="506"/>
      <c r="D51" s="506"/>
      <c r="E51" s="506"/>
      <c r="F51" s="506"/>
      <c r="G51" s="507"/>
      <c r="L51" s="120"/>
    </row>
    <row r="52" spans="1:12" s="79" customFormat="1" ht="13.5" customHeight="1">
      <c r="A52" s="505" t="s">
        <v>546</v>
      </c>
      <c r="B52" s="506"/>
      <c r="C52" s="506"/>
      <c r="D52" s="506"/>
      <c r="E52" s="506"/>
      <c r="F52" s="506"/>
      <c r="G52" s="507"/>
      <c r="L52" s="120"/>
    </row>
    <row r="53" spans="1:12" s="79" customFormat="1" ht="13.5" customHeight="1">
      <c r="A53" s="523" t="s">
        <v>545</v>
      </c>
      <c r="B53" s="524"/>
      <c r="C53" s="524"/>
      <c r="D53" s="524"/>
      <c r="E53" s="524"/>
      <c r="F53" s="524"/>
      <c r="G53" s="525"/>
      <c r="L53" s="120"/>
    </row>
    <row r="54" spans="1:12" s="79" customFormat="1" ht="13.5" customHeight="1">
      <c r="A54" s="523" t="s">
        <v>547</v>
      </c>
      <c r="B54" s="524"/>
      <c r="C54" s="524"/>
      <c r="D54" s="524"/>
      <c r="E54" s="524"/>
      <c r="F54" s="524"/>
      <c r="G54" s="525"/>
      <c r="L54" s="120"/>
    </row>
    <row r="55" spans="1:12" s="79" customFormat="1" ht="13.5" customHeight="1">
      <c r="A55" s="523"/>
      <c r="B55" s="524"/>
      <c r="C55" s="524"/>
      <c r="D55" s="524"/>
      <c r="E55" s="524"/>
      <c r="F55" s="524"/>
      <c r="G55" s="525"/>
      <c r="L55" s="120"/>
    </row>
    <row r="56" spans="1:12" s="79" customFormat="1" ht="21">
      <c r="A56" s="36" t="s">
        <v>118</v>
      </c>
      <c r="B56" s="132">
        <f>$B$1</f>
        <v>3</v>
      </c>
      <c r="C56" s="37" t="s">
        <v>40</v>
      </c>
      <c r="D56" s="38" t="str">
        <f>$E$1</f>
        <v>遭遇毎</v>
      </c>
      <c r="E56" s="564" t="str">
        <f>$B$2</f>
        <v>プレシング・アタック</v>
      </c>
      <c r="F56" s="565"/>
      <c r="G56" s="566"/>
      <c r="L56" s="120"/>
    </row>
  </sheetData>
  <mergeCells count="60">
    <mergeCell ref="A32:G32"/>
    <mergeCell ref="A33:G33"/>
    <mergeCell ref="A34:G34"/>
    <mergeCell ref="B1:C1"/>
    <mergeCell ref="F1:G1"/>
    <mergeCell ref="B2:G2"/>
    <mergeCell ref="B4:G4"/>
    <mergeCell ref="B5:G5"/>
    <mergeCell ref="A27:G27"/>
    <mergeCell ref="A28:G28"/>
    <mergeCell ref="A26:G26"/>
    <mergeCell ref="A22:A23"/>
    <mergeCell ref="A24:A25"/>
    <mergeCell ref="A20:A21"/>
    <mergeCell ref="C20:C21"/>
    <mergeCell ref="A51:G51"/>
    <mergeCell ref="B6:D6"/>
    <mergeCell ref="B16:G16"/>
    <mergeCell ref="B7:D7"/>
    <mergeCell ref="B8:G8"/>
    <mergeCell ref="B9:G9"/>
    <mergeCell ref="B10:G10"/>
    <mergeCell ref="B12:G12"/>
    <mergeCell ref="B13:G13"/>
    <mergeCell ref="B14:G14"/>
    <mergeCell ref="B15:G15"/>
    <mergeCell ref="A29:G29"/>
    <mergeCell ref="A30:G30"/>
    <mergeCell ref="A31:G31"/>
    <mergeCell ref="A35:G35"/>
    <mergeCell ref="A36:G36"/>
    <mergeCell ref="E56:G56"/>
    <mergeCell ref="A52:G52"/>
    <mergeCell ref="A53:G53"/>
    <mergeCell ref="A54:G54"/>
    <mergeCell ref="A55:G55"/>
    <mergeCell ref="A37:G37"/>
    <mergeCell ref="A38:G38"/>
    <mergeCell ref="A39:G39"/>
    <mergeCell ref="A43:G43"/>
    <mergeCell ref="A44:G44"/>
    <mergeCell ref="A42:G42"/>
    <mergeCell ref="A40:G40"/>
    <mergeCell ref="A41:G41"/>
    <mergeCell ref="A49:G49"/>
    <mergeCell ref="A50:G50"/>
    <mergeCell ref="A45:G45"/>
    <mergeCell ref="A46:G46"/>
    <mergeCell ref="A47:G47"/>
    <mergeCell ref="A48:G48"/>
    <mergeCell ref="N4:S4"/>
    <mergeCell ref="P9:Q9"/>
    <mergeCell ref="P11:Q11"/>
    <mergeCell ref="A18:C19"/>
    <mergeCell ref="D18:E18"/>
    <mergeCell ref="F18:G18"/>
    <mergeCell ref="J9:K9"/>
    <mergeCell ref="B11:G11"/>
    <mergeCell ref="J11:K11"/>
    <mergeCell ref="H4:M4"/>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基本!$D$27:$D$31</xm:f>
          </x14:formula1>
          <xm:sqref>I7</xm:sqref>
        </x14:dataValidation>
        <x14:dataValidation type="list" allowBlank="1" showInputMessage="1" showErrorMessage="1">
          <x14:formula1>
            <xm:f>基本!$A$16:$A$19</xm:f>
          </x14:formula1>
          <xm:sqref>K8</xm:sqref>
        </x14:dataValidation>
        <x14:dataValidation type="list" allowBlank="1" showInputMessage="1" showErrorMessage="1">
          <x14:formula1>
            <xm:f>基本!$C$27:$C$37</xm:f>
          </x14:formula1>
          <xm:sqref>I15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S53"/>
  <sheetViews>
    <sheetView zoomScaleNormal="100" workbookViewId="0">
      <selection activeCell="B2" sqref="B2:G2"/>
    </sheetView>
  </sheetViews>
  <sheetFormatPr defaultRowHeight="13.5"/>
  <cols>
    <col min="1" max="1" width="7.875" style="120" customWidth="1"/>
    <col min="2" max="2" width="8.5" style="120" customWidth="1"/>
    <col min="3" max="3" width="6.625" style="120" customWidth="1"/>
    <col min="4" max="4" width="15.75" style="120" customWidth="1"/>
    <col min="5" max="6" width="15.75" style="79" customWidth="1"/>
    <col min="7" max="7" width="18.25" style="79" customWidth="1"/>
    <col min="8" max="8" width="17.375" style="79" customWidth="1"/>
    <col min="9" max="9" width="14.625" style="79" customWidth="1"/>
    <col min="10" max="10" width="8.375" style="79" customWidth="1"/>
    <col min="11" max="11" width="7.5" style="79" customWidth="1"/>
    <col min="12" max="12" width="7.875" style="120" customWidth="1"/>
    <col min="13" max="13" width="9.25" style="120" customWidth="1"/>
    <col min="14" max="14" width="12.375" style="120" customWidth="1"/>
    <col min="15" max="16384" width="9" style="120"/>
  </cols>
  <sheetData>
    <row r="1" spans="1:19" ht="21">
      <c r="A1" s="39" t="s">
        <v>118</v>
      </c>
      <c r="B1" s="573">
        <v>7</v>
      </c>
      <c r="C1" s="574"/>
      <c r="D1" s="40" t="s">
        <v>40</v>
      </c>
      <c r="E1" s="41" t="s">
        <v>115</v>
      </c>
      <c r="F1" s="575"/>
      <c r="G1" s="576"/>
      <c r="H1" s="84" t="s">
        <v>55</v>
      </c>
    </row>
    <row r="2" spans="1:19" ht="24.75" customHeight="1">
      <c r="A2" s="40" t="s">
        <v>0</v>
      </c>
      <c r="B2" s="577" t="s">
        <v>573</v>
      </c>
      <c r="C2" s="577"/>
      <c r="D2" s="577"/>
      <c r="E2" s="577"/>
      <c r="F2" s="577"/>
      <c r="G2" s="577"/>
      <c r="H2" s="84" t="s">
        <v>56</v>
      </c>
    </row>
    <row r="3" spans="1:19" ht="19.5" customHeight="1">
      <c r="A3" s="90" t="s">
        <v>48</v>
      </c>
      <c r="B3" s="79"/>
      <c r="C3" s="79"/>
      <c r="D3" s="79"/>
      <c r="I3" s="84"/>
    </row>
    <row r="4" spans="1:19">
      <c r="A4" s="67" t="s">
        <v>46</v>
      </c>
      <c r="B4" s="480" t="s">
        <v>149</v>
      </c>
      <c r="C4" s="481"/>
      <c r="D4" s="481"/>
      <c r="E4" s="481"/>
      <c r="F4" s="481"/>
      <c r="G4" s="482"/>
      <c r="H4" s="394" t="s">
        <v>646</v>
      </c>
      <c r="I4" s="395"/>
      <c r="J4" s="395"/>
      <c r="K4" s="395"/>
      <c r="L4" s="395"/>
      <c r="M4" s="396"/>
      <c r="N4" s="394" t="s">
        <v>646</v>
      </c>
      <c r="O4" s="395"/>
      <c r="P4" s="395"/>
      <c r="Q4" s="395"/>
      <c r="R4" s="395"/>
      <c r="S4" s="396"/>
    </row>
    <row r="5" spans="1:19">
      <c r="A5" s="68" t="s">
        <v>39</v>
      </c>
      <c r="B5" s="480" t="s">
        <v>174</v>
      </c>
      <c r="C5" s="481"/>
      <c r="D5" s="481"/>
      <c r="E5" s="481"/>
      <c r="F5" s="481"/>
      <c r="G5" s="482"/>
      <c r="H5" s="330" t="s">
        <v>43</v>
      </c>
      <c r="I5" s="332" t="s">
        <v>69</v>
      </c>
      <c r="J5" s="332">
        <v>1</v>
      </c>
      <c r="N5" s="330" t="s">
        <v>43</v>
      </c>
      <c r="O5" s="332" t="s">
        <v>71</v>
      </c>
      <c r="P5" s="332" t="s">
        <v>100</v>
      </c>
      <c r="Q5" s="79"/>
    </row>
    <row r="6" spans="1:19">
      <c r="A6" s="68" t="s">
        <v>7</v>
      </c>
      <c r="B6" s="480" t="s">
        <v>150</v>
      </c>
      <c r="C6" s="481"/>
      <c r="D6" s="482"/>
      <c r="E6" s="129" t="s">
        <v>43</v>
      </c>
      <c r="F6" s="152" t="str">
        <f>$I$5</f>
        <v>近接</v>
      </c>
      <c r="G6" s="152">
        <f>IF($J$5 = 0,"", $J$5)</f>
        <v>1</v>
      </c>
      <c r="H6" s="330" t="s">
        <v>66</v>
      </c>
      <c r="I6" s="332"/>
      <c r="J6" s="332"/>
      <c r="N6" s="330" t="s">
        <v>66</v>
      </c>
      <c r="O6" s="332"/>
      <c r="P6" s="332"/>
      <c r="Q6" s="79"/>
    </row>
    <row r="7" spans="1:19">
      <c r="A7" s="69" t="s">
        <v>6</v>
      </c>
      <c r="B7" s="480" t="s">
        <v>154</v>
      </c>
      <c r="C7" s="481"/>
      <c r="D7" s="482"/>
      <c r="E7" s="129" t="s">
        <v>66</v>
      </c>
      <c r="F7" s="130" t="str">
        <f>IF($I$6 = 0,"", $I$6)</f>
        <v/>
      </c>
      <c r="G7" s="130" t="str">
        <f>IF($J$6 = 0,"", $J$6)</f>
        <v/>
      </c>
      <c r="H7" s="330" t="s">
        <v>85</v>
      </c>
      <c r="I7" s="332" t="s">
        <v>116</v>
      </c>
      <c r="J7" s="84" t="s">
        <v>62</v>
      </c>
      <c r="L7" s="176" t="s">
        <v>318</v>
      </c>
      <c r="N7" s="330" t="s">
        <v>85</v>
      </c>
      <c r="O7" s="332" t="s">
        <v>525</v>
      </c>
      <c r="P7" s="84" t="s">
        <v>62</v>
      </c>
      <c r="Q7" s="79"/>
      <c r="R7" s="176" t="s">
        <v>318</v>
      </c>
    </row>
    <row r="8" spans="1:19">
      <c r="A8" s="71" t="s">
        <v>128</v>
      </c>
      <c r="B8" s="474" t="s">
        <v>151</v>
      </c>
      <c r="C8" s="475"/>
      <c r="D8" s="475"/>
      <c r="E8" s="475"/>
      <c r="F8" s="475"/>
      <c r="G8" s="476"/>
      <c r="H8" s="330" t="s">
        <v>51</v>
      </c>
      <c r="I8" s="332" t="s">
        <v>12</v>
      </c>
      <c r="J8" s="331">
        <f>IF($I$8 = "筋力",基本!$C$5,IF($I$8 = "耐久力",基本!$C$6,IF($I$8 = "敏捷力",基本!$C$7,IF($I$8 = "知力",基本!$C$8,IF($I$8 = "判断力",基本!$C$9,IF($I$8 = "魅力",基本!$C$10,""))))))</f>
        <v>6</v>
      </c>
      <c r="K8" s="332" t="s">
        <v>90</v>
      </c>
      <c r="L8" s="177">
        <f>$J$8+$L$9+$I$9</f>
        <v>22</v>
      </c>
      <c r="N8" s="330" t="s">
        <v>51</v>
      </c>
      <c r="O8" s="332" t="s">
        <v>12</v>
      </c>
      <c r="P8" s="331">
        <f>IF(O8="",0,VLOOKUP(O8,基本!$A$5:'基本'!$C$10,3,FALSE))</f>
        <v>6</v>
      </c>
      <c r="Q8" s="332" t="s">
        <v>90</v>
      </c>
      <c r="R8" s="177">
        <f>$P$8+$O$9+$R$9</f>
        <v>22</v>
      </c>
    </row>
    <row r="9" spans="1:19" ht="14.25" customHeight="1">
      <c r="A9" s="71"/>
      <c r="B9" s="505" t="s">
        <v>152</v>
      </c>
      <c r="C9" s="506"/>
      <c r="D9" s="506"/>
      <c r="E9" s="506"/>
      <c r="F9" s="506"/>
      <c r="G9" s="507"/>
      <c r="H9" s="330" t="s">
        <v>58</v>
      </c>
      <c r="I9" s="332">
        <v>0</v>
      </c>
      <c r="J9" s="394" t="s">
        <v>53</v>
      </c>
      <c r="K9" s="396"/>
      <c r="L9" s="331">
        <f>IF($I$7=基本!$F$4,基本!$P$7,IF($I$7=基本!$F$13,基本!$P$16,IF($I$7=基本!$F$22,基本!$P$25,IF($I$7=基本!$F$31,基本!$P$34,IF($I$7=基本!$F$40,基本!$P$43,0)))))</f>
        <v>16</v>
      </c>
      <c r="N9" s="330" t="s">
        <v>58</v>
      </c>
      <c r="O9" s="332">
        <v>0</v>
      </c>
      <c r="P9" s="394" t="s">
        <v>53</v>
      </c>
      <c r="Q9" s="396"/>
      <c r="R9" s="331">
        <f>IF($O$7=基本!$F$4,基本!$P$7,IF($O$7=基本!$F$13,基本!$P$16,IF($O$7=基本!$F$22,基本!$P$25,IF($O$7=基本!$F$31,基本!$P$34,IF($O$7=基本!$F$40,基本!$P$43,0)))))</f>
        <v>16</v>
      </c>
    </row>
    <row r="10" spans="1:19" ht="14.25" customHeight="1">
      <c r="A10" s="71"/>
      <c r="B10" s="505" t="s">
        <v>153</v>
      </c>
      <c r="C10" s="506"/>
      <c r="D10" s="506"/>
      <c r="E10" s="506"/>
      <c r="F10" s="506"/>
      <c r="G10" s="507"/>
      <c r="H10" s="328" t="s">
        <v>52</v>
      </c>
      <c r="I10" s="332" t="s">
        <v>12</v>
      </c>
      <c r="J10" s="88">
        <f>IF(I10 = "筋力",基本!$C$5,IF(I10 = "耐久力",基本!$C$6,IF(I10 = "敏捷力",基本!$C$7,IF(I10 = "知力",基本!$C$8,IF(I10 = "判断力",基本!$C$9,IF(I10 = "魅力",基本!$C$10,""))))))</f>
        <v>6</v>
      </c>
      <c r="K10" s="332" t="s">
        <v>16</v>
      </c>
      <c r="L10" s="88">
        <f>IF(K10 = "筋力",基本!$C$5,IF(K10 = "耐久力",基本!$C$6,IF(K10 = "敏捷力",基本!$C$7,IF(K10 = "知力",基本!$C$8,IF(K10 = "判断力",基本!$C$9,IF(K10 = "魅力",基本!$C$10,""))))))</f>
        <v>6</v>
      </c>
      <c r="N10" s="328" t="s">
        <v>52</v>
      </c>
      <c r="O10" s="332" t="s">
        <v>12</v>
      </c>
      <c r="P10" s="88">
        <f>IF(O10 = "筋力",基本!$C$5,IF(O10 = "耐久力",基本!$C$6,IF(O10 = "敏捷力",基本!$C$7,IF(O10 = "知力",基本!$C$8,IF(O10 = "判断力",基本!$C$9,IF(O10 = "魅力",基本!$C$10,""))))))</f>
        <v>6</v>
      </c>
      <c r="Q10" s="332" t="s">
        <v>16</v>
      </c>
      <c r="R10" s="88">
        <f>IF(Q10 = "筋力",基本!$C$5,IF(Q10 = "耐久力",基本!$C$6,IF(Q10 = "敏捷力",基本!$C$7,IF(Q10 = "知力",基本!$C$8,IF(Q10 = "判断力",基本!$C$9,IF(Q10 = "魅力",基本!$C$10,""))))))</f>
        <v>6</v>
      </c>
    </row>
    <row r="11" spans="1:19" ht="14.25" customHeight="1">
      <c r="A11" s="70" t="s">
        <v>61</v>
      </c>
      <c r="B11" s="567" t="s">
        <v>266</v>
      </c>
      <c r="C11" s="568"/>
      <c r="D11" s="568"/>
      <c r="E11" s="568"/>
      <c r="F11" s="568"/>
      <c r="G11" s="569"/>
      <c r="H11" s="330" t="s">
        <v>59</v>
      </c>
      <c r="I11" s="332">
        <v>0</v>
      </c>
      <c r="J11" s="394" t="s">
        <v>54</v>
      </c>
      <c r="K11" s="396"/>
      <c r="L11" s="331">
        <f>IF($I$7=基本!$F$4,基本!$P$9,IF($I$7=基本!$F$13,基本!$P$18,IF($I$7=基本!$F$22,基本!$P$27,IF($I$7=基本!$F$31,基本!$P$36,IF($I$7=基本!$F$40,基本!$P$45,0)))))</f>
        <v>6</v>
      </c>
      <c r="N11" s="330" t="s">
        <v>59</v>
      </c>
      <c r="O11" s="332">
        <v>0</v>
      </c>
      <c r="P11" s="394" t="s">
        <v>643</v>
      </c>
      <c r="Q11" s="396"/>
      <c r="R11" s="331">
        <f>IF($O$7=基本!$F$4,基本!$P$9,IF($O$7=基本!$F$13,基本!$P$18,IF($O$7=基本!$F$22,基本!$P$27,IF($O$7=基本!$F$31,基本!$P$36,IF($O$7=基本!$F$40,基本!$P$45,0)))))</f>
        <v>6</v>
      </c>
    </row>
    <row r="12" spans="1:19">
      <c r="A12" s="72"/>
      <c r="B12" s="578" t="s">
        <v>267</v>
      </c>
      <c r="C12" s="503"/>
      <c r="D12" s="503"/>
      <c r="E12" s="503"/>
      <c r="F12" s="503"/>
      <c r="G12" s="504"/>
      <c r="H12" s="329" t="s">
        <v>319</v>
      </c>
      <c r="I12" s="332">
        <v>1</v>
      </c>
      <c r="J12" s="120"/>
      <c r="K12" s="120"/>
      <c r="L12" s="176" t="s">
        <v>318</v>
      </c>
      <c r="M12" s="334" t="s">
        <v>60</v>
      </c>
      <c r="N12" s="329" t="s">
        <v>319</v>
      </c>
      <c r="O12" s="332">
        <v>1</v>
      </c>
      <c r="R12" s="176" t="s">
        <v>318</v>
      </c>
      <c r="S12" s="334" t="s">
        <v>60</v>
      </c>
    </row>
    <row r="13" spans="1:19" ht="14.25" customHeight="1">
      <c r="A13" s="69" t="s">
        <v>8</v>
      </c>
      <c r="B13" s="480" t="s">
        <v>275</v>
      </c>
      <c r="C13" s="481"/>
      <c r="D13" s="481"/>
      <c r="E13" s="481"/>
      <c r="F13" s="481"/>
      <c r="G13" s="482"/>
      <c r="H13" s="329" t="s">
        <v>86</v>
      </c>
      <c r="I13" s="32">
        <f>IF($I$7=基本!$F$4,基本!$F$9,IF($I$7=基本!$F$13,基本!$F$18,IF($I$7=基本!$F$22,基本!$F$27,IF($I$7=基本!$F$31,基本!$F$36,IF($I$7=基本!$F$40,基本!$F$45,0)))))*$I$12</f>
        <v>1</v>
      </c>
      <c r="J13" s="330" t="s">
        <v>44</v>
      </c>
      <c r="K13" s="32">
        <f>IF($I$7=基本!$F$4,基本!$H$9,IF($I$7=基本!$F$13,基本!$H$18,IF($I$7=基本!$F$22,基本!$H$27,IF($I$7=基本!$F$31,基本!$H$36,IF($I$7=基本!$F$40,基本!$H$45,0)))))</f>
        <v>10</v>
      </c>
      <c r="L13" s="177">
        <f>$J$10+$L$11+$I$11</f>
        <v>12</v>
      </c>
      <c r="M13" s="332"/>
      <c r="N13" s="329" t="s">
        <v>644</v>
      </c>
      <c r="O13" s="42">
        <f>IF($O$7=基本!$F$4,基本!$F$9,IF($O$7=基本!$F$13,基本!$F$18,IF($O$7=基本!$F$22,基本!$F$27,IF($O$7=基本!$F$31,基本!$F$36,IF($O$7=基本!$F$40,基本!$F$45,0)))))*$O$12</f>
        <v>1</v>
      </c>
      <c r="P13" s="330" t="s">
        <v>645</v>
      </c>
      <c r="Q13" s="42">
        <f>IF($O$7=基本!$F$4,基本!$H$9,IF($O$7=基本!$F$13,基本!$H$18,IF($O$7=基本!$F$22,基本!$H$27,IF($O$7=基本!$F$31,基本!$H$36,IF($O$7=基本!$F$40,基本!$H$45,0)))))</f>
        <v>6</v>
      </c>
      <c r="R13" s="177">
        <f>$P$10+$O$11+$R$11</f>
        <v>12</v>
      </c>
      <c r="S13" s="332"/>
    </row>
    <row r="14" spans="1:19" ht="14.25" customHeight="1">
      <c r="A14" s="71" t="s">
        <v>9</v>
      </c>
      <c r="B14" s="474" t="s">
        <v>271</v>
      </c>
      <c r="C14" s="475"/>
      <c r="D14" s="475"/>
      <c r="E14" s="475"/>
      <c r="F14" s="475"/>
      <c r="G14" s="476"/>
      <c r="H14" s="330" t="s">
        <v>50</v>
      </c>
      <c r="I14" s="32">
        <f>IF($I$7=基本!$F$4,基本!$L$11,IF($I$7=基本!$F$13,基本!$L$20,IF($I$7=基本!$F$22,基本!$L$29,IF($I$7=基本!$F$31,基本!$L$38,IF($I$7=基本!$F$40,基本!$L$47,0)))))</f>
        <v>4</v>
      </c>
      <c r="J14" s="330" t="s">
        <v>44</v>
      </c>
      <c r="K14" s="32">
        <f>IF($I$7=基本!$F$4,基本!$N$11,IF($I$7=基本!$F$13,基本!$N$20,IF($I$7=基本!$F$22,基本!$N$29,IF($I$7=基本!$F$31,基本!$N$38,IF($I$7=基本!$F$40,基本!$N$47,0)))))</f>
        <v>8</v>
      </c>
      <c r="L14" s="177">
        <f>$J$10+$L$11+$I$11+($I$13*$K$13)</f>
        <v>22</v>
      </c>
      <c r="M14" s="332"/>
      <c r="N14" s="330" t="s">
        <v>50</v>
      </c>
      <c r="O14" s="42">
        <f>IF($O$7=基本!$F$4,基本!$L$11,IF($O$7=基本!$F$13,基本!$L$20,IF($O$7=基本!$F$22,基本!$L$29,IF($O$7=基本!$F$31,基本!$L$38,IF($O$7=基本!$F$40,基本!$L$47,0)))))</f>
        <v>4</v>
      </c>
      <c r="P14" s="330" t="s">
        <v>645</v>
      </c>
      <c r="Q14" s="42">
        <f>IF($O$7=基本!$F$4,基本!$N$11,IF($O$7=基本!$F$13,基本!$N$20,IF($O$7=基本!$F$22,基本!$N$29,IF($O$7=基本!$F$31,基本!$N$38,IF($O$7=基本!$F$40,基本!$N$47,0)))))</f>
        <v>6</v>
      </c>
      <c r="R14" s="177">
        <f>$P$10+$R$11+$O$11+($O$13*$Q$13)</f>
        <v>18</v>
      </c>
      <c r="S14" s="332"/>
    </row>
    <row r="15" spans="1:19" ht="17.25" customHeight="1">
      <c r="A15" s="71"/>
      <c r="B15" s="483" t="s">
        <v>155</v>
      </c>
      <c r="C15" s="472"/>
      <c r="D15" s="472"/>
      <c r="E15" s="472"/>
      <c r="F15" s="472"/>
      <c r="G15" s="484"/>
      <c r="H15" s="120"/>
      <c r="I15" s="120"/>
      <c r="J15" s="120"/>
      <c r="K15" s="120"/>
    </row>
    <row r="16" spans="1:19" ht="17.25" customHeight="1">
      <c r="A16" s="71"/>
      <c r="B16" s="579"/>
      <c r="C16" s="580"/>
      <c r="D16" s="580"/>
      <c r="E16" s="580"/>
      <c r="F16" s="580"/>
      <c r="G16" s="581"/>
      <c r="H16" s="120"/>
      <c r="I16" s="120"/>
      <c r="J16" s="120"/>
      <c r="K16" s="120"/>
    </row>
    <row r="17" spans="1:11" ht="17.25" customHeight="1">
      <c r="A17" s="71"/>
      <c r="B17" s="515" t="str">
        <f>"使用者から "&amp;3+$L$10&amp;" マス以内にいる味方に隣接するマスに敵が侵入"</f>
        <v>使用者から 9 マス以内にいる味方に隣接するマスに敵が侵入</v>
      </c>
      <c r="C17" s="516"/>
      <c r="D17" s="516"/>
      <c r="E17" s="516"/>
      <c r="F17" s="516"/>
      <c r="G17" s="517"/>
      <c r="H17" s="120"/>
      <c r="I17" s="120"/>
      <c r="J17" s="120"/>
      <c r="K17" s="120"/>
    </row>
    <row r="18" spans="1:11" ht="8.25" customHeight="1">
      <c r="A18" s="72"/>
      <c r="B18" s="452"/>
      <c r="C18" s="453"/>
      <c r="D18" s="453"/>
      <c r="E18" s="453"/>
      <c r="F18" s="453"/>
      <c r="G18" s="454"/>
      <c r="H18" s="120"/>
      <c r="I18" s="120"/>
      <c r="J18" s="120"/>
      <c r="K18" s="120"/>
    </row>
    <row r="19" spans="1:11" ht="14.25" thickBot="1">
      <c r="A19" s="113" t="s">
        <v>47</v>
      </c>
      <c r="E19" s="80"/>
      <c r="H19" s="120"/>
      <c r="I19" s="120"/>
      <c r="J19" s="120"/>
      <c r="K19" s="120"/>
    </row>
    <row r="20" spans="1:11" ht="15" customHeight="1">
      <c r="A20" s="558" t="str">
        <f>$B$2</f>
        <v>ガーディアンズ・パウンス</v>
      </c>
      <c r="B20" s="559"/>
      <c r="C20" s="560"/>
      <c r="D20" s="550" t="s">
        <v>2</v>
      </c>
      <c r="E20" s="551"/>
      <c r="F20" s="552" t="s">
        <v>525</v>
      </c>
      <c r="G20" s="553"/>
      <c r="H20" s="120"/>
      <c r="I20" s="120"/>
      <c r="J20" s="120"/>
      <c r="K20" s="120"/>
    </row>
    <row r="21" spans="1:11" ht="18.75" customHeight="1" thickBot="1">
      <c r="A21" s="561"/>
      <c r="B21" s="562"/>
      <c r="C21" s="563"/>
      <c r="D21" s="190" t="s">
        <v>2</v>
      </c>
      <c r="E21" s="191" t="s">
        <v>1</v>
      </c>
      <c r="F21" s="190" t="s">
        <v>2</v>
      </c>
      <c r="G21" s="343" t="s">
        <v>1</v>
      </c>
      <c r="H21" s="120"/>
      <c r="I21" s="120"/>
      <c r="J21" s="120"/>
      <c r="K21" s="120"/>
    </row>
    <row r="22" spans="1:11" ht="21" customHeight="1">
      <c r="A22" s="540" t="s">
        <v>42</v>
      </c>
      <c r="B22" s="186" t="s">
        <v>117</v>
      </c>
      <c r="C22" s="542" t="str">
        <f>$K$8</f>
        <v>AC</v>
      </c>
      <c r="D22" s="185" t="str">
        <f>$L$8 &amp; "+1d20"</f>
        <v>22+1d20</v>
      </c>
      <c r="E22" s="198" t="str">
        <f>$L$8+2 &amp; "+1d20"</f>
        <v>24+1d20</v>
      </c>
      <c r="F22" s="185" t="str">
        <f>$R$8 &amp; "+1d20"</f>
        <v>22+1d20</v>
      </c>
      <c r="G22" s="344" t="str">
        <f>$R$8+2 &amp; "+1d20"</f>
        <v>24+1d20</v>
      </c>
      <c r="H22" s="120"/>
      <c r="I22" s="120"/>
      <c r="J22" s="120"/>
      <c r="K22" s="120"/>
    </row>
    <row r="23" spans="1:11" ht="24" customHeight="1" thickBot="1">
      <c r="A23" s="541"/>
      <c r="B23" s="345" t="s">
        <v>668</v>
      </c>
      <c r="C23" s="543"/>
      <c r="D23" s="199" t="str">
        <f>3+$L$8 &amp; "+1d20"</f>
        <v>25+1d20</v>
      </c>
      <c r="E23" s="346" t="str">
        <f>3+$L$8+2 &amp; "+1d20"</f>
        <v>27+1d20</v>
      </c>
      <c r="F23" s="199" t="str">
        <f>3+$R$8 &amp; "+1d20"</f>
        <v>25+1d20</v>
      </c>
      <c r="G23" s="200" t="str">
        <f>3+$R$8+2 &amp; "+1d20"</f>
        <v>27+1d20</v>
      </c>
      <c r="H23" s="120"/>
      <c r="I23" s="120"/>
      <c r="J23" s="120"/>
      <c r="K23" s="120"/>
    </row>
    <row r="24" spans="1:11" ht="23.25" customHeight="1">
      <c r="A24" s="470" t="s">
        <v>360</v>
      </c>
      <c r="B24" s="137" t="s">
        <v>361</v>
      </c>
      <c r="C24" s="335" t="str">
        <f>IF($M$13 = 0,"", $M$13)</f>
        <v/>
      </c>
      <c r="D24" s="56" t="str">
        <f>-2+$L$13 &amp; "+" &amp; $I$13 &amp; "d" &amp; $K$13</f>
        <v>10+1d10</v>
      </c>
      <c r="E24" s="56" t="str">
        <f>-2+$L$13 &amp; "+" &amp; $I$13 &amp; "d" &amp; $K$13</f>
        <v>10+1d10</v>
      </c>
      <c r="F24" s="56" t="str">
        <f>-2+$R$13 &amp; "+" &amp; $O$13 &amp; "d" &amp; $Q$13</f>
        <v>10+1d6</v>
      </c>
      <c r="G24" s="57" t="str">
        <f>-2+$R$13 &amp; "+" &amp; $O$13 &amp; "d" &amp; $Q$13</f>
        <v>10+1d6</v>
      </c>
      <c r="H24" s="120"/>
      <c r="I24" s="120"/>
      <c r="J24" s="120"/>
      <c r="K24" s="120"/>
    </row>
    <row r="25" spans="1:11" ht="23.25" customHeight="1" thickBot="1">
      <c r="A25" s="471"/>
      <c r="B25" s="148" t="s">
        <v>362</v>
      </c>
      <c r="C25" s="347" t="str">
        <f>IF($M$14 = 0,"", $M$14)</f>
        <v/>
      </c>
      <c r="D25" s="150" t="str">
        <f>-2+$L$14 &amp; IF($I$14 =0,"","＆別の敵へ" &amp; $I$14 &amp; "d" &amp; $K$14)</f>
        <v>20＆別の敵へ4d8</v>
      </c>
      <c r="E25" s="150" t="str">
        <f t="shared" ref="E25" si="0">-2+$L$14 &amp; IF($I$14 =0,"","＆別の敵へ" &amp; $I$14 &amp; "d" &amp; $K$14)</f>
        <v>20＆別の敵へ4d8</v>
      </c>
      <c r="F25" s="150" t="str">
        <f>-2+$R$14 &amp; IF($O$14 = 0,"","+" &amp; $O$14 &amp; "d" &amp; $Q$14)</f>
        <v>16+4d6</v>
      </c>
      <c r="G25" s="305" t="str">
        <f>-2+$R$14 &amp; IF($O$14 = 0,"","+" &amp; $O$14 &amp; "d" &amp; $Q$14)</f>
        <v>16+4d6</v>
      </c>
      <c r="H25" s="120"/>
      <c r="I25" s="120"/>
      <c r="J25" s="120"/>
      <c r="K25" s="120"/>
    </row>
    <row r="26" spans="1:11" ht="23.25" customHeight="1">
      <c r="A26" s="455" t="s">
        <v>136</v>
      </c>
      <c r="B26" s="137" t="s">
        <v>361</v>
      </c>
      <c r="C26" s="335" t="str">
        <f>IF($M$13 = 0,"", $M$13)</f>
        <v/>
      </c>
      <c r="D26" s="56" t="str">
        <f>$L$13 &amp; "+" &amp; $I$13 &amp; "d" &amp; $K$13</f>
        <v>12+1d10</v>
      </c>
      <c r="E26" s="56" t="str">
        <f>$L$13 &amp; "+" &amp; $I$13 &amp; "d" &amp; $K$13</f>
        <v>12+1d10</v>
      </c>
      <c r="F26" s="56" t="str">
        <f>$R$13 &amp; "+" &amp; $O$13 &amp; "d" &amp; $Q$13</f>
        <v>12+1d6</v>
      </c>
      <c r="G26" s="57" t="str">
        <f>$R$13 &amp; "+" &amp; $O$13 &amp; "d" &amp; $Q$13</f>
        <v>12+1d6</v>
      </c>
      <c r="H26" s="120"/>
      <c r="I26" s="120"/>
      <c r="J26" s="120"/>
      <c r="K26" s="120"/>
    </row>
    <row r="27" spans="1:11" ht="23.25" customHeight="1" thickBot="1">
      <c r="A27" s="557"/>
      <c r="B27" s="148" t="s">
        <v>362</v>
      </c>
      <c r="C27" s="347" t="str">
        <f>IF($M$14 = 0,"", $M$14)</f>
        <v/>
      </c>
      <c r="D27" s="333" t="str">
        <f>$L$14 &amp; IF($I$14 =0,"","＆別の敵へ" &amp; $I$14 &amp; "d" &amp; $K$14)</f>
        <v>22＆別の敵へ4d8</v>
      </c>
      <c r="E27" s="333" t="str">
        <f t="shared" ref="E27" si="1">$L$14 &amp; IF($I$14 =0,"","＆別の敵へ" &amp; $I$14 &amp; "d" &amp; $K$14)</f>
        <v>22＆別の敵へ4d8</v>
      </c>
      <c r="F27" s="333" t="str">
        <f>$R$14 &amp; IF($O$14 = 0,"","+" &amp; $O$14 &amp; "d" &amp; $Q$14)</f>
        <v>18+4d6</v>
      </c>
      <c r="G27" s="305" t="str">
        <f>$R$14 &amp; IF($O$14 = 0,"","+" &amp; $O$14 &amp; "d" &amp; $Q$14)</f>
        <v>18+4d6</v>
      </c>
      <c r="H27" s="120"/>
      <c r="I27" s="120"/>
      <c r="J27" s="120"/>
      <c r="K27" s="120"/>
    </row>
    <row r="28" spans="1:11" ht="13.5" customHeight="1">
      <c r="A28" s="458"/>
      <c r="B28" s="458"/>
      <c r="C28" s="458"/>
      <c r="D28" s="458"/>
      <c r="E28" s="458"/>
      <c r="F28" s="458"/>
      <c r="G28" s="458"/>
    </row>
    <row r="29" spans="1:11" ht="15" customHeight="1">
      <c r="A29" s="457" t="s">
        <v>676</v>
      </c>
      <c r="B29" s="457"/>
      <c r="C29" s="457"/>
      <c r="D29" s="457"/>
      <c r="E29" s="457"/>
      <c r="F29" s="457"/>
      <c r="G29" s="457"/>
      <c r="H29" s="120"/>
      <c r="I29" s="120"/>
      <c r="J29" s="120"/>
      <c r="K29" s="120"/>
    </row>
    <row r="30" spans="1:11" ht="13.5" customHeight="1">
      <c r="A30" s="458" t="s">
        <v>677</v>
      </c>
      <c r="B30" s="458"/>
      <c r="C30" s="458"/>
      <c r="D30" s="458"/>
      <c r="E30" s="458"/>
      <c r="F30" s="458"/>
      <c r="G30" s="458"/>
    </row>
    <row r="31" spans="1:11" ht="15" customHeight="1">
      <c r="A31" s="457" t="s">
        <v>355</v>
      </c>
      <c r="B31" s="457"/>
      <c r="C31" s="457"/>
      <c r="D31" s="457"/>
      <c r="E31" s="457"/>
      <c r="F31" s="457"/>
      <c r="G31" s="457"/>
      <c r="I31" s="120"/>
      <c r="J31" s="120"/>
      <c r="K31" s="120"/>
    </row>
    <row r="32" spans="1:11" ht="13.5" customHeight="1">
      <c r="A32" s="458" t="s">
        <v>356</v>
      </c>
      <c r="B32" s="458"/>
      <c r="C32" s="458"/>
      <c r="D32" s="458"/>
      <c r="E32" s="458"/>
      <c r="F32" s="458"/>
      <c r="G32" s="458"/>
    </row>
    <row r="33" spans="1:12" ht="13.5" customHeight="1">
      <c r="A33" s="458" t="s">
        <v>357</v>
      </c>
      <c r="B33" s="458"/>
      <c r="C33" s="458"/>
      <c r="D33" s="458"/>
      <c r="E33" s="458"/>
      <c r="F33" s="458"/>
      <c r="G33" s="458"/>
    </row>
    <row r="34" spans="1:12" ht="8.25" customHeight="1">
      <c r="A34" s="453"/>
      <c r="B34" s="453"/>
      <c r="C34" s="453"/>
      <c r="D34" s="453"/>
      <c r="E34" s="453"/>
      <c r="F34" s="453"/>
      <c r="G34" s="453"/>
    </row>
    <row r="35" spans="1:12">
      <c r="A35" s="531" t="s">
        <v>49</v>
      </c>
      <c r="B35" s="532"/>
      <c r="C35" s="532"/>
      <c r="D35" s="532"/>
      <c r="E35" s="532"/>
      <c r="F35" s="532"/>
      <c r="G35" s="533"/>
    </row>
    <row r="36" spans="1:12" s="79" customFormat="1" ht="5.25" customHeight="1">
      <c r="A36" s="529"/>
      <c r="B36" s="457"/>
      <c r="C36" s="457"/>
      <c r="D36" s="457"/>
      <c r="E36" s="457"/>
      <c r="F36" s="457"/>
      <c r="G36" s="530"/>
      <c r="L36" s="120"/>
    </row>
    <row r="37" spans="1:12" s="79" customFormat="1" ht="18" customHeight="1">
      <c r="A37" s="477" t="s">
        <v>283</v>
      </c>
      <c r="B37" s="478"/>
      <c r="C37" s="478"/>
      <c r="D37" s="478"/>
      <c r="E37" s="478"/>
      <c r="F37" s="478"/>
      <c r="G37" s="479"/>
      <c r="L37" s="120"/>
    </row>
    <row r="38" spans="1:12" s="79" customFormat="1" ht="13.5" customHeight="1">
      <c r="A38" s="505"/>
      <c r="B38" s="506"/>
      <c r="C38" s="506"/>
      <c r="D38" s="506"/>
      <c r="E38" s="506"/>
      <c r="F38" s="506"/>
      <c r="G38" s="507"/>
      <c r="L38" s="120"/>
    </row>
    <row r="39" spans="1:12" s="79" customFormat="1" ht="13.5" customHeight="1">
      <c r="A39" s="505" t="s">
        <v>258</v>
      </c>
      <c r="B39" s="506"/>
      <c r="C39" s="506"/>
      <c r="D39" s="506"/>
      <c r="E39" s="506"/>
      <c r="F39" s="506"/>
      <c r="G39" s="507"/>
      <c r="L39" s="120"/>
    </row>
    <row r="40" spans="1:12" s="79" customFormat="1" ht="13.5" customHeight="1">
      <c r="A40" s="505" t="s">
        <v>259</v>
      </c>
      <c r="B40" s="506"/>
      <c r="C40" s="506"/>
      <c r="D40" s="506"/>
      <c r="E40" s="506"/>
      <c r="F40" s="506"/>
      <c r="G40" s="507"/>
      <c r="L40" s="120"/>
    </row>
    <row r="41" spans="1:12" s="79" customFormat="1" ht="13.5" customHeight="1">
      <c r="A41" s="505" t="s">
        <v>257</v>
      </c>
      <c r="B41" s="506"/>
      <c r="C41" s="506"/>
      <c r="D41" s="506"/>
      <c r="E41" s="506"/>
      <c r="F41" s="506"/>
      <c r="G41" s="507"/>
      <c r="L41" s="120"/>
    </row>
    <row r="42" spans="1:12" s="79" customFormat="1" ht="13.5" customHeight="1">
      <c r="A42" s="523" t="s">
        <v>260</v>
      </c>
      <c r="B42" s="524"/>
      <c r="C42" s="524"/>
      <c r="D42" s="524"/>
      <c r="E42" s="524"/>
      <c r="F42" s="524"/>
      <c r="G42" s="525"/>
      <c r="L42" s="120"/>
    </row>
    <row r="43" spans="1:12" s="79" customFormat="1" ht="13.5" customHeight="1">
      <c r="A43" s="523" t="s">
        <v>261</v>
      </c>
      <c r="B43" s="524"/>
      <c r="C43" s="524"/>
      <c r="D43" s="524"/>
      <c r="E43" s="524"/>
      <c r="F43" s="524"/>
      <c r="G43" s="525"/>
      <c r="L43" s="120"/>
    </row>
    <row r="44" spans="1:12" s="79" customFormat="1" ht="13.5" customHeight="1">
      <c r="A44" s="523" t="s">
        <v>262</v>
      </c>
      <c r="B44" s="524"/>
      <c r="C44" s="524"/>
      <c r="D44" s="524"/>
      <c r="E44" s="524"/>
      <c r="F44" s="524"/>
      <c r="G44" s="525"/>
      <c r="L44" s="120"/>
    </row>
    <row r="45" spans="1:12" s="79" customFormat="1" ht="13.5" customHeight="1">
      <c r="A45" s="523" t="s">
        <v>284</v>
      </c>
      <c r="B45" s="524"/>
      <c r="C45" s="524"/>
      <c r="D45" s="524"/>
      <c r="E45" s="524"/>
      <c r="F45" s="524"/>
      <c r="G45" s="525"/>
      <c r="L45" s="120"/>
    </row>
    <row r="46" spans="1:12" s="79" customFormat="1" ht="13.5" customHeight="1">
      <c r="A46" s="523"/>
      <c r="B46" s="524"/>
      <c r="C46" s="524"/>
      <c r="D46" s="524"/>
      <c r="E46" s="524"/>
      <c r="F46" s="524"/>
      <c r="G46" s="525"/>
      <c r="L46" s="120"/>
    </row>
    <row r="47" spans="1:12" s="79" customFormat="1" ht="13.5" customHeight="1">
      <c r="A47" s="523"/>
      <c r="B47" s="524"/>
      <c r="C47" s="524"/>
      <c r="D47" s="524"/>
      <c r="E47" s="524"/>
      <c r="F47" s="524"/>
      <c r="G47" s="525"/>
      <c r="L47" s="120"/>
    </row>
    <row r="48" spans="1:12" s="79" customFormat="1" ht="13.5" customHeight="1">
      <c r="A48" s="526"/>
      <c r="B48" s="527"/>
      <c r="C48" s="527"/>
      <c r="D48" s="527"/>
      <c r="E48" s="527"/>
      <c r="F48" s="527"/>
      <c r="G48" s="528"/>
      <c r="L48" s="120"/>
    </row>
    <row r="49" spans="1:12" s="79" customFormat="1" ht="13.5" customHeight="1">
      <c r="A49" s="523"/>
      <c r="B49" s="524"/>
      <c r="C49" s="524"/>
      <c r="D49" s="524"/>
      <c r="E49" s="524"/>
      <c r="F49" s="524"/>
      <c r="G49" s="525"/>
      <c r="L49" s="120"/>
    </row>
    <row r="50" spans="1:12" s="79" customFormat="1" ht="13.5" customHeight="1">
      <c r="A50" s="526"/>
      <c r="B50" s="527"/>
      <c r="C50" s="527"/>
      <c r="D50" s="527"/>
      <c r="E50" s="527"/>
      <c r="F50" s="527"/>
      <c r="G50" s="528"/>
      <c r="L50" s="120"/>
    </row>
    <row r="51" spans="1:12" s="79" customFormat="1" ht="13.5" customHeight="1">
      <c r="A51" s="526"/>
      <c r="B51" s="527"/>
      <c r="C51" s="527"/>
      <c r="D51" s="527"/>
      <c r="E51" s="527"/>
      <c r="F51" s="527"/>
      <c r="G51" s="528"/>
      <c r="L51" s="120"/>
    </row>
    <row r="52" spans="1:12" s="79" customFormat="1" ht="13.5" customHeight="1">
      <c r="A52" s="523"/>
      <c r="B52" s="524"/>
      <c r="C52" s="524"/>
      <c r="D52" s="524"/>
      <c r="E52" s="524"/>
      <c r="F52" s="524"/>
      <c r="G52" s="525"/>
      <c r="L52" s="120"/>
    </row>
    <row r="53" spans="1:12" s="79" customFormat="1" ht="21">
      <c r="A53" s="36" t="s">
        <v>118</v>
      </c>
      <c r="B53" s="132">
        <f>$B$1</f>
        <v>7</v>
      </c>
      <c r="C53" s="37" t="s">
        <v>40</v>
      </c>
      <c r="D53" s="38" t="str">
        <f>$E$1</f>
        <v>遭遇毎</v>
      </c>
      <c r="E53" s="564" t="str">
        <f>$B$2</f>
        <v>ガーディアンズ・パウンス</v>
      </c>
      <c r="F53" s="565"/>
      <c r="G53" s="566"/>
      <c r="L53" s="120"/>
    </row>
  </sheetData>
  <mergeCells count="57">
    <mergeCell ref="A35:G35"/>
    <mergeCell ref="A32:G32"/>
    <mergeCell ref="A31:G31"/>
    <mergeCell ref="A29:G29"/>
    <mergeCell ref="A30:G30"/>
    <mergeCell ref="A33:G33"/>
    <mergeCell ref="A34:G34"/>
    <mergeCell ref="B1:C1"/>
    <mergeCell ref="F1:G1"/>
    <mergeCell ref="B2:G2"/>
    <mergeCell ref="B4:G4"/>
    <mergeCell ref="B5:G5"/>
    <mergeCell ref="B17:G17"/>
    <mergeCell ref="B16:G16"/>
    <mergeCell ref="B13:G13"/>
    <mergeCell ref="B14:G14"/>
    <mergeCell ref="E53:G53"/>
    <mergeCell ref="A52:G52"/>
    <mergeCell ref="A46:G46"/>
    <mergeCell ref="A47:G47"/>
    <mergeCell ref="A51:G51"/>
    <mergeCell ref="A48:G48"/>
    <mergeCell ref="A49:G49"/>
    <mergeCell ref="A50:G50"/>
    <mergeCell ref="A38:G38"/>
    <mergeCell ref="A28:G28"/>
    <mergeCell ref="A36:G36"/>
    <mergeCell ref="A37:G37"/>
    <mergeCell ref="B7:D7"/>
    <mergeCell ref="B8:G8"/>
    <mergeCell ref="B9:G9"/>
    <mergeCell ref="B10:G10"/>
    <mergeCell ref="B12:G12"/>
    <mergeCell ref="B11:G11"/>
    <mergeCell ref="A44:G44"/>
    <mergeCell ref="A45:G45"/>
    <mergeCell ref="A39:G39"/>
    <mergeCell ref="A40:G40"/>
    <mergeCell ref="A41:G41"/>
    <mergeCell ref="A42:G42"/>
    <mergeCell ref="A43:G43"/>
    <mergeCell ref="A24:A25"/>
    <mergeCell ref="A26:A27"/>
    <mergeCell ref="H4:M4"/>
    <mergeCell ref="N4:S4"/>
    <mergeCell ref="P9:Q9"/>
    <mergeCell ref="P11:Q11"/>
    <mergeCell ref="A20:C21"/>
    <mergeCell ref="D20:E20"/>
    <mergeCell ref="F20:G20"/>
    <mergeCell ref="A22:A23"/>
    <mergeCell ref="C22:C23"/>
    <mergeCell ref="J9:K9"/>
    <mergeCell ref="J11:K11"/>
    <mergeCell ref="B15:G15"/>
    <mergeCell ref="B6:D6"/>
    <mergeCell ref="B18:G18"/>
  </mergeCells>
  <phoneticPr fontId="1"/>
  <pageMargins left="0.70866141732283472" right="0.70866141732283472" top="0.55118110236220474" bottom="0.35433070866141736" header="0.31496062992125984" footer="0.31496062992125984"/>
  <pageSetup paperSize="9" orientation="portrait" horizontalDpi="300" verticalDpi="300" r:id="rId1"/>
  <headerFooter>
    <oddHeader>&amp;Cリュカオン</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K8</xm:sqref>
        </x14:dataValidation>
        <x14:dataValidation type="list" allowBlank="1" showInputMessage="1" showErrorMessage="1">
          <x14:formula1>
            <xm:f>基本!$D$27:$D$31</xm:f>
          </x14:formula1>
          <xm:sqref>I7</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23</vt:i4>
      </vt:variant>
    </vt:vector>
  </HeadingPairs>
  <TitlesOfParts>
    <vt:vector size="48" baseType="lpstr">
      <vt:lpstr>防御</vt:lpstr>
      <vt:lpstr>基本</vt:lpstr>
      <vt:lpstr>技能</vt:lpstr>
      <vt:lpstr>近接基礎</vt:lpstr>
      <vt:lpstr>つかみ</vt:lpstr>
      <vt:lpstr>無01C</vt:lpstr>
      <vt:lpstr>無01D</vt:lpstr>
      <vt:lpstr>遭03</vt:lpstr>
      <vt:lpstr>遭07</vt:lpstr>
      <vt:lpstr>遭11</vt:lpstr>
      <vt:lpstr>遭17</vt:lpstr>
      <vt:lpstr>日05</vt:lpstr>
      <vt:lpstr>日09</vt:lpstr>
      <vt:lpstr>日15</vt:lpstr>
      <vt:lpstr>クラスA </vt:lpstr>
      <vt:lpstr>クラスＢ</vt:lpstr>
      <vt:lpstr>種族</vt:lpstr>
      <vt:lpstr>汎02</vt:lpstr>
      <vt:lpstr>汎06</vt:lpstr>
      <vt:lpstr>汎10</vt:lpstr>
      <vt:lpstr>テーマ遭</vt:lpstr>
      <vt:lpstr>汎12</vt:lpstr>
      <vt:lpstr>汎16</vt:lpstr>
      <vt:lpstr>日20</vt:lpstr>
      <vt:lpstr>遭0１</vt:lpstr>
      <vt:lpstr>'クラスA '!Print_Area</vt:lpstr>
      <vt:lpstr>クラスＢ!Print_Area</vt:lpstr>
      <vt:lpstr>つかみ!Print_Area</vt:lpstr>
      <vt:lpstr>テーマ遭!Print_Area</vt:lpstr>
      <vt:lpstr>基本!Print_Area</vt:lpstr>
      <vt:lpstr>近接基礎!Print_Area</vt:lpstr>
      <vt:lpstr>種族!Print_Area</vt:lpstr>
      <vt:lpstr>遭0１!Print_Area</vt:lpstr>
      <vt:lpstr>遭03!Print_Area</vt:lpstr>
      <vt:lpstr>遭07!Print_Area</vt:lpstr>
      <vt:lpstr>遭11!Print_Area</vt:lpstr>
      <vt:lpstr>遭17!Print_Area</vt:lpstr>
      <vt:lpstr>日05!Print_Area</vt:lpstr>
      <vt:lpstr>日09!Print_Area</vt:lpstr>
      <vt:lpstr>日15!Print_Area</vt:lpstr>
      <vt:lpstr>日20!Print_Area</vt:lpstr>
      <vt:lpstr>汎02!Print_Area</vt:lpstr>
      <vt:lpstr>汎06!Print_Area</vt:lpstr>
      <vt:lpstr>汎10!Print_Area</vt:lpstr>
      <vt:lpstr>汎12!Print_Area</vt:lpstr>
      <vt:lpstr>汎16!Print_Area</vt:lpstr>
      <vt:lpstr>無01C!Print_Area</vt:lpstr>
      <vt:lpstr>無01D!Print_Area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CAMEL</dc:creator>
  <cp:lastModifiedBy>CAMEL</cp:lastModifiedBy>
  <cp:lastPrinted>2016-06-22T15:27:33Z</cp:lastPrinted>
  <dcterms:created xsi:type="dcterms:W3CDTF">2012-08-09T16:34:12Z</dcterms:created>
  <dcterms:modified xsi:type="dcterms:W3CDTF">2016-07-14T09:46:16Z</dcterms:modified>
</cp:coreProperties>
</file>