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D:\Users\CAMEL\OneDrive\ドキュメント\GAME_DATA\DD4\木曜会\"/>
    </mc:Choice>
  </mc:AlternateContent>
  <bookViews>
    <workbookView xWindow="0" yWindow="-15" windowWidth="15270" windowHeight="8175" tabRatio="953" activeTab="2"/>
  </bookViews>
  <sheets>
    <sheet name="コンセプト" sheetId="113" r:id="rId1"/>
    <sheet name="召喚" sheetId="115" r:id="rId2"/>
    <sheet name="基本" sheetId="2" r:id="rId3"/>
    <sheet name="技能" sheetId="120" r:id="rId4"/>
    <sheet name="近接基礎" sheetId="69" r:id="rId5"/>
    <sheet name="無01A" sheetId="96" r:id="rId6"/>
    <sheet name="無01B" sheetId="55" r:id="rId7"/>
    <sheet name="アイテム遭" sheetId="111" r:id="rId8"/>
    <sheet name="CDA" sheetId="98" r:id="rId9"/>
    <sheet name="CDB" sheetId="99" r:id="rId10"/>
    <sheet name="遭07" sheetId="107" r:id="rId11"/>
    <sheet name="遭11" sheetId="108" r:id="rId12"/>
    <sheet name="遭13" sheetId="121" r:id="rId13"/>
    <sheet name="遭17" sheetId="87" r:id="rId14"/>
    <sheet name="日01" sheetId="122" r:id="rId15"/>
    <sheet name="日15" sheetId="123" r:id="rId16"/>
    <sheet name="テーマ日" sheetId="100" r:id="rId17"/>
    <sheet name="日09" sheetId="105" r:id="rId18"/>
    <sheet name="ｱｲﾃﾑ日" sheetId="101" r:id="rId19"/>
    <sheet name="アイテム無" sheetId="112" r:id="rId20"/>
    <sheet name="種族遭" sheetId="75" r:id="rId21"/>
    <sheet name="汎02" sheetId="43" r:id="rId22"/>
    <sheet name="汎06" sheetId="73" r:id="rId23"/>
    <sheet name="汎10" sheetId="106" r:id="rId24"/>
    <sheet name="汎12" sheetId="109" r:id="rId25"/>
    <sheet name="汎16" sheetId="124" r:id="rId26"/>
    <sheet name="儀式01" sheetId="103" r:id="rId27"/>
    <sheet name="儀式02" sheetId="104" r:id="rId28"/>
    <sheet name="儀式03" sheetId="117" r:id="rId29"/>
    <sheet name="儀式04" sheetId="118" r:id="rId30"/>
    <sheet name="儀式05" sheetId="119" r:id="rId31"/>
    <sheet name="遭20" sheetId="110" r:id="rId32"/>
    <sheet name="日01旧" sheetId="76" r:id="rId33"/>
    <sheet name="遭03旧" sheetId="88" r:id="rId34"/>
    <sheet name="遭1旧" sheetId="125" r:id="rId35"/>
  </sheets>
  <definedNames>
    <definedName name="_xlnm.Print_Area" localSheetId="8">CDA!$A$1:$G$59</definedName>
    <definedName name="_xlnm.Print_Area" localSheetId="9">CDB!$A$1:$G$59</definedName>
    <definedName name="_xlnm.Print_Area" localSheetId="7">アイテム遭!$A$1:$G$58</definedName>
    <definedName name="_xlnm.Print_Area" localSheetId="18">ｱｲﾃﾑ日!$A$1:$G$52</definedName>
    <definedName name="_xlnm.Print_Area" localSheetId="19">アイテム無!$A$1:$G$60</definedName>
    <definedName name="_xlnm.Print_Area" localSheetId="16">テーマ日!$A$1:$G$55</definedName>
    <definedName name="_xlnm.Print_Area" localSheetId="2">基本!$A$1:$P$38</definedName>
    <definedName name="_xlnm.Print_Area" localSheetId="26">儀式01!$A$1:$G$59</definedName>
    <definedName name="_xlnm.Print_Area" localSheetId="27">儀式02!$A$1:$G$56</definedName>
    <definedName name="_xlnm.Print_Area" localSheetId="28">儀式03!$A$1:$G$59</definedName>
    <definedName name="_xlnm.Print_Area" localSheetId="29">儀式04!$A$1:$G$59</definedName>
    <definedName name="_xlnm.Print_Area" localSheetId="30">儀式05!$A$1:$G$59</definedName>
    <definedName name="_xlnm.Print_Area" localSheetId="4">近接基礎!$A$1:$G$53</definedName>
    <definedName name="_xlnm.Print_Area" localSheetId="20">種族遭!$A$1:$G$60</definedName>
    <definedName name="_xlnm.Print_Area" localSheetId="33">遭03旧!$A$1:$G$56</definedName>
    <definedName name="_xlnm.Print_Area" localSheetId="10">遭07!$A$1:$G$58</definedName>
    <definedName name="_xlnm.Print_Area" localSheetId="11">遭11!$A$1:$G$58</definedName>
    <definedName name="_xlnm.Print_Area" localSheetId="12">遭13!$A$1:$G$56</definedName>
    <definedName name="_xlnm.Print_Area" localSheetId="13">遭17!$A$1:$G$61</definedName>
    <definedName name="_xlnm.Print_Area" localSheetId="34">遭1旧!$A$1:$G$56</definedName>
    <definedName name="_xlnm.Print_Area" localSheetId="31">遭20!$A$1:$G$56</definedName>
    <definedName name="_xlnm.Print_Area" localSheetId="14">日01!$A$1:$G$55</definedName>
    <definedName name="_xlnm.Print_Area" localSheetId="32">日01旧!$A$1:$G$48</definedName>
    <definedName name="_xlnm.Print_Area" localSheetId="17">日09!$A$1:$G$53</definedName>
    <definedName name="_xlnm.Print_Area" localSheetId="15">日15!$A$1:$G$56</definedName>
    <definedName name="_xlnm.Print_Area" localSheetId="21">汎02!$A$1:$G$59</definedName>
    <definedName name="_xlnm.Print_Area" localSheetId="22">汎06!$A$1:$G$60</definedName>
    <definedName name="_xlnm.Print_Area" localSheetId="23">汎10!$A$1:$G$57</definedName>
    <definedName name="_xlnm.Print_Area" localSheetId="24">汎12!$A$1:$G$58</definedName>
    <definedName name="_xlnm.Print_Area" localSheetId="25">汎16!$A$1:$G$64</definedName>
    <definedName name="_xlnm.Print_Area" localSheetId="5">無01A!$A$1:$G$62</definedName>
    <definedName name="_xlnm.Print_Area" localSheetId="6">無01B!$A$1:$G$56</definedName>
  </definedNames>
  <calcPr calcId="171027"/>
</workbook>
</file>

<file path=xl/calcChain.xml><?xml version="1.0" encoding="utf-8"?>
<calcChain xmlns="http://schemas.openxmlformats.org/spreadsheetml/2006/main">
  <c r="C39" i="105" l="1"/>
  <c r="C38" i="105"/>
  <c r="C37" i="105"/>
  <c r="C36" i="105"/>
  <c r="Q15" i="105"/>
  <c r="Q14" i="105"/>
  <c r="O14" i="105"/>
  <c r="O15" i="105" s="1"/>
  <c r="Q13" i="105"/>
  <c r="O13" i="105"/>
  <c r="C33" i="105"/>
  <c r="C32" i="105"/>
  <c r="C31" i="105"/>
  <c r="C30" i="105"/>
  <c r="C27" i="123"/>
  <c r="C26" i="123"/>
  <c r="C25" i="123"/>
  <c r="C24" i="123"/>
  <c r="C27" i="122"/>
  <c r="C26" i="122"/>
  <c r="C25" i="122"/>
  <c r="C24" i="122"/>
  <c r="C27" i="87"/>
  <c r="C26" i="87"/>
  <c r="C25" i="87"/>
  <c r="C24" i="87"/>
  <c r="C27" i="121"/>
  <c r="C26" i="121"/>
  <c r="C25" i="121"/>
  <c r="C24" i="121"/>
  <c r="C27" i="108"/>
  <c r="C26" i="108"/>
  <c r="C25" i="108"/>
  <c r="C24" i="108"/>
  <c r="K15" i="105"/>
  <c r="K14" i="105"/>
  <c r="I14" i="105"/>
  <c r="I15" i="105" s="1"/>
  <c r="K15" i="123"/>
  <c r="K14" i="123"/>
  <c r="I14" i="123"/>
  <c r="I15" i="123" s="1"/>
  <c r="K15" i="122"/>
  <c r="K14" i="122"/>
  <c r="I14" i="122"/>
  <c r="I15" i="122" s="1"/>
  <c r="K15" i="87"/>
  <c r="K14" i="87"/>
  <c r="I14" i="87"/>
  <c r="I15" i="87" s="1"/>
  <c r="K15" i="121"/>
  <c r="K14" i="121"/>
  <c r="I14" i="121"/>
  <c r="I15" i="121" s="1"/>
  <c r="K15" i="108"/>
  <c r="K14" i="108"/>
  <c r="I14" i="108"/>
  <c r="I15" i="108" s="1"/>
  <c r="C27" i="107"/>
  <c r="C26" i="107"/>
  <c r="C25" i="107"/>
  <c r="C24" i="107"/>
  <c r="K15" i="107"/>
  <c r="K14" i="107"/>
  <c r="I14" i="107"/>
  <c r="I15" i="107" s="1"/>
  <c r="C27" i="98"/>
  <c r="C26" i="98"/>
  <c r="C25" i="98"/>
  <c r="C24" i="98"/>
  <c r="K15" i="98"/>
  <c r="K14" i="98"/>
  <c r="I14" i="98"/>
  <c r="I15" i="98" s="1"/>
  <c r="C31" i="55"/>
  <c r="C30" i="55"/>
  <c r="C29" i="55"/>
  <c r="C28" i="55"/>
  <c r="C27" i="55"/>
  <c r="C26" i="55"/>
  <c r="C25" i="55"/>
  <c r="C24" i="55"/>
  <c r="C31" i="96"/>
  <c r="C30" i="96"/>
  <c r="C29" i="96"/>
  <c r="C28" i="96"/>
  <c r="C27" i="96"/>
  <c r="C26" i="96"/>
  <c r="C25" i="96"/>
  <c r="C24" i="96"/>
  <c r="K15" i="55"/>
  <c r="K14" i="55"/>
  <c r="I14" i="55"/>
  <c r="I15" i="55" s="1"/>
  <c r="K15" i="96"/>
  <c r="K14" i="96"/>
  <c r="I14" i="96"/>
  <c r="I15" i="96" s="1"/>
  <c r="C38" i="69" l="1"/>
  <c r="C37" i="69"/>
  <c r="C36" i="69"/>
  <c r="C35" i="69"/>
  <c r="C40" i="69"/>
  <c r="C41" i="69"/>
  <c r="C25" i="69"/>
  <c r="C24" i="69"/>
  <c r="C23" i="69"/>
  <c r="C22" i="69"/>
  <c r="Q15" i="69"/>
  <c r="K15" i="69"/>
  <c r="C27" i="69" l="1"/>
  <c r="C28" i="69"/>
  <c r="C29" i="69"/>
  <c r="C26" i="69"/>
  <c r="C42" i="69"/>
  <c r="C39" i="69"/>
  <c r="G7" i="87" l="1"/>
  <c r="F7" i="87"/>
  <c r="G6" i="87"/>
  <c r="F6" i="87"/>
  <c r="E56" i="125"/>
  <c r="D56" i="125"/>
  <c r="B56" i="125"/>
  <c r="C27" i="125"/>
  <c r="C26" i="125"/>
  <c r="C25" i="125"/>
  <c r="C24" i="125"/>
  <c r="C20" i="125"/>
  <c r="A18" i="125"/>
  <c r="K14" i="125"/>
  <c r="I14" i="125"/>
  <c r="G7" i="125"/>
  <c r="F7" i="125"/>
  <c r="G6" i="125"/>
  <c r="F6" i="125"/>
  <c r="G6" i="124"/>
  <c r="E64" i="124"/>
  <c r="D64" i="124"/>
  <c r="B64" i="124"/>
  <c r="K14" i="124"/>
  <c r="I14" i="124"/>
  <c r="L11" i="124"/>
  <c r="L9" i="124"/>
  <c r="G7" i="124"/>
  <c r="F7" i="124"/>
  <c r="F6" i="124"/>
  <c r="E56" i="123"/>
  <c r="D56" i="123"/>
  <c r="B56" i="123"/>
  <c r="C20" i="123"/>
  <c r="A18" i="123"/>
  <c r="G7" i="123"/>
  <c r="F7" i="123"/>
  <c r="G6" i="123"/>
  <c r="F6" i="123"/>
  <c r="E55" i="122" l="1"/>
  <c r="D55" i="122"/>
  <c r="B55" i="122"/>
  <c r="C20" i="122"/>
  <c r="A18" i="122"/>
  <c r="G7" i="122"/>
  <c r="F7" i="122"/>
  <c r="G6" i="122"/>
  <c r="F6" i="122"/>
  <c r="Q45" i="2"/>
  <c r="N45" i="2" s="1"/>
  <c r="O45" i="2" s="1"/>
  <c r="Q43" i="2"/>
  <c r="N43" i="2" s="1"/>
  <c r="Q36" i="2"/>
  <c r="N36" i="2"/>
  <c r="O36" i="2" s="1"/>
  <c r="R11" i="69" s="1"/>
  <c r="Q34" i="2"/>
  <c r="N34" i="2" s="1"/>
  <c r="Q27" i="2"/>
  <c r="N27" i="2" s="1"/>
  <c r="O27" i="2" s="1"/>
  <c r="Q25" i="2"/>
  <c r="N25" i="2" s="1"/>
  <c r="Q18" i="2"/>
  <c r="N18" i="2"/>
  <c r="O18" i="2" s="1"/>
  <c r="Q16" i="2"/>
  <c r="N16" i="2" s="1"/>
  <c r="L11" i="122" l="1"/>
  <c r="L11" i="125"/>
  <c r="L11" i="123"/>
  <c r="L11" i="100"/>
  <c r="L11" i="76"/>
  <c r="L11" i="105"/>
  <c r="L11" i="101"/>
  <c r="L11" i="108"/>
  <c r="L11" i="96"/>
  <c r="L11" i="55"/>
  <c r="L11" i="111"/>
  <c r="L11" i="98"/>
  <c r="L11" i="99"/>
  <c r="L11" i="87"/>
  <c r="L11" i="121"/>
  <c r="L11" i="107"/>
  <c r="Q9" i="2" l="1"/>
  <c r="N9" i="2" s="1"/>
  <c r="O9" i="2" s="1"/>
  <c r="L11" i="69" s="1"/>
  <c r="Q7" i="2"/>
  <c r="N7" i="2" s="1"/>
  <c r="H8" i="120" l="1"/>
  <c r="E56" i="121" l="1"/>
  <c r="D56" i="121"/>
  <c r="B56" i="121"/>
  <c r="C20" i="121"/>
  <c r="A18" i="121"/>
  <c r="G7" i="121"/>
  <c r="F7" i="121"/>
  <c r="G6" i="121"/>
  <c r="F6" i="121"/>
  <c r="G22" i="120"/>
  <c r="G15" i="120"/>
  <c r="G12" i="120"/>
  <c r="G11" i="120"/>
  <c r="G10" i="120"/>
  <c r="G38" i="120" l="1"/>
  <c r="G37" i="120"/>
  <c r="H25" i="120"/>
  <c r="H24" i="120"/>
  <c r="H23" i="120"/>
  <c r="H22" i="120"/>
  <c r="H21" i="120"/>
  <c r="H20" i="120"/>
  <c r="H19" i="120"/>
  <c r="H18" i="120"/>
  <c r="H17" i="120"/>
  <c r="H16" i="120"/>
  <c r="H15" i="120"/>
  <c r="H14" i="120"/>
  <c r="H13" i="120"/>
  <c r="H12" i="120"/>
  <c r="H11" i="120"/>
  <c r="H10" i="120"/>
  <c r="H9" i="120"/>
  <c r="E59" i="119" l="1"/>
  <c r="D59" i="119"/>
  <c r="B59" i="119"/>
  <c r="L15" i="119"/>
  <c r="K14" i="119"/>
  <c r="I14" i="119"/>
  <c r="L11" i="119"/>
  <c r="J10" i="119"/>
  <c r="L9" i="119"/>
  <c r="J8" i="119"/>
  <c r="L8" i="119" s="1"/>
  <c r="E59" i="118"/>
  <c r="D59" i="118"/>
  <c r="B59" i="118"/>
  <c r="L15" i="118"/>
  <c r="K14" i="118"/>
  <c r="I14" i="118"/>
  <c r="L11" i="118"/>
  <c r="J10" i="118"/>
  <c r="L14" i="118" s="1"/>
  <c r="L9" i="118"/>
  <c r="J8" i="118"/>
  <c r="L8" i="118" s="1"/>
  <c r="E59" i="117"/>
  <c r="D59" i="117"/>
  <c r="B59" i="117"/>
  <c r="L15" i="117"/>
  <c r="K14" i="117"/>
  <c r="I14" i="117"/>
  <c r="L11" i="117"/>
  <c r="J10" i="117"/>
  <c r="L13" i="117" s="1"/>
  <c r="L9" i="117"/>
  <c r="J8" i="117"/>
  <c r="L14" i="119" l="1"/>
  <c r="L8" i="117"/>
  <c r="L14" i="117"/>
  <c r="L13" i="119"/>
  <c r="L13" i="118"/>
  <c r="A39" i="101" l="1"/>
  <c r="G27" i="104" l="1"/>
  <c r="F27" i="104"/>
  <c r="E27" i="104"/>
  <c r="D27" i="104"/>
  <c r="G25" i="104"/>
  <c r="F25" i="104"/>
  <c r="E25" i="104"/>
  <c r="D25" i="104"/>
  <c r="G26" i="104"/>
  <c r="F26" i="104"/>
  <c r="G24" i="104"/>
  <c r="F24" i="104"/>
  <c r="E24" i="104"/>
  <c r="D24" i="104"/>
  <c r="E26" i="104"/>
  <c r="D26" i="104"/>
  <c r="C27" i="104"/>
  <c r="C26" i="104"/>
  <c r="C24" i="104"/>
  <c r="A22" i="104"/>
  <c r="A26" i="105"/>
  <c r="C28" i="105"/>
  <c r="C26" i="76"/>
  <c r="C25" i="76"/>
  <c r="C24" i="76"/>
  <c r="A33" i="100"/>
  <c r="A22" i="76"/>
  <c r="Q14" i="100"/>
  <c r="O14" i="100"/>
  <c r="Q13" i="100"/>
  <c r="O13" i="100"/>
  <c r="C37" i="100"/>
  <c r="C36" i="100"/>
  <c r="C35" i="100"/>
  <c r="C32" i="76"/>
  <c r="C31" i="76"/>
  <c r="C28" i="76"/>
  <c r="C25" i="110"/>
  <c r="C24" i="110"/>
  <c r="C20" i="110"/>
  <c r="A18" i="110"/>
  <c r="C19" i="111" l="1"/>
  <c r="C40" i="101" l="1"/>
  <c r="F44" i="101"/>
  <c r="E44" i="101"/>
  <c r="D44" i="101"/>
  <c r="F43" i="101"/>
  <c r="E43" i="101"/>
  <c r="D43" i="101"/>
  <c r="F42" i="101"/>
  <c r="E42" i="101"/>
  <c r="D42" i="101"/>
  <c r="F41" i="101"/>
  <c r="E41" i="101"/>
  <c r="D41" i="101"/>
  <c r="K14" i="110"/>
  <c r="I14" i="110"/>
  <c r="G7" i="110"/>
  <c r="F7" i="110"/>
  <c r="G6" i="110"/>
  <c r="F6" i="110"/>
  <c r="G7" i="109"/>
  <c r="F7" i="109"/>
  <c r="G6" i="109"/>
  <c r="F6" i="109"/>
  <c r="K14" i="104"/>
  <c r="I14" i="104"/>
  <c r="G12" i="104"/>
  <c r="F12" i="104"/>
  <c r="G11" i="104"/>
  <c r="F11" i="104"/>
  <c r="K14" i="103"/>
  <c r="I14" i="103"/>
  <c r="G7" i="106"/>
  <c r="F7" i="106"/>
  <c r="G6" i="106"/>
  <c r="F6" i="106"/>
  <c r="G7" i="73"/>
  <c r="F7" i="73"/>
  <c r="G6" i="73"/>
  <c r="F6" i="73"/>
  <c r="G7" i="43"/>
  <c r="F7" i="43"/>
  <c r="G6" i="43"/>
  <c r="F6" i="43"/>
  <c r="G7" i="75"/>
  <c r="F7" i="75"/>
  <c r="G6" i="75"/>
  <c r="F6" i="75"/>
  <c r="G7" i="112"/>
  <c r="F7" i="112"/>
  <c r="G6" i="112"/>
  <c r="F6" i="112"/>
  <c r="C44" i="101"/>
  <c r="F40" i="101"/>
  <c r="E40" i="101"/>
  <c r="D40" i="101"/>
  <c r="G37" i="101"/>
  <c r="F37" i="101"/>
  <c r="E37" i="101"/>
  <c r="D37" i="101"/>
  <c r="A37" i="101"/>
  <c r="I16" i="101"/>
  <c r="K14" i="101"/>
  <c r="I14" i="101"/>
  <c r="G7" i="101"/>
  <c r="F7" i="101"/>
  <c r="G6" i="101"/>
  <c r="F6" i="101"/>
  <c r="G24" i="105"/>
  <c r="F24" i="105"/>
  <c r="E24" i="105"/>
  <c r="D24" i="105"/>
  <c r="G7" i="105"/>
  <c r="F7" i="105"/>
  <c r="G6" i="105"/>
  <c r="F6" i="105"/>
  <c r="G20" i="76"/>
  <c r="F20" i="76"/>
  <c r="E20" i="76"/>
  <c r="D20" i="76"/>
  <c r="Q14" i="76"/>
  <c r="O14" i="76"/>
  <c r="K14" i="76"/>
  <c r="I14" i="76"/>
  <c r="Q13" i="76"/>
  <c r="O13" i="76"/>
  <c r="G7" i="76"/>
  <c r="F7" i="76"/>
  <c r="G6" i="76"/>
  <c r="F6" i="76"/>
  <c r="G31" i="100"/>
  <c r="F31" i="100"/>
  <c r="E31" i="100"/>
  <c r="D31" i="100"/>
  <c r="I16" i="100"/>
  <c r="K14" i="100"/>
  <c r="I14" i="100"/>
  <c r="G7" i="100"/>
  <c r="F7" i="100"/>
  <c r="G6" i="100"/>
  <c r="F6" i="100"/>
  <c r="C20" i="108"/>
  <c r="A18" i="108"/>
  <c r="G7" i="108"/>
  <c r="F7" i="108"/>
  <c r="G6" i="108"/>
  <c r="F6" i="108"/>
  <c r="C20" i="107"/>
  <c r="A18" i="107"/>
  <c r="G7" i="107"/>
  <c r="F7" i="107"/>
  <c r="G6" i="107"/>
  <c r="F6" i="107"/>
  <c r="C27" i="88"/>
  <c r="C26" i="88"/>
  <c r="C25" i="88"/>
  <c r="C24" i="88"/>
  <c r="C20" i="88"/>
  <c r="A18" i="88"/>
  <c r="K14" i="88"/>
  <c r="I14" i="88"/>
  <c r="G7" i="88"/>
  <c r="F7" i="88"/>
  <c r="G6" i="88"/>
  <c r="F6" i="88"/>
  <c r="C20" i="87"/>
  <c r="A18" i="87"/>
  <c r="G7" i="99"/>
  <c r="F7" i="99"/>
  <c r="G6" i="99"/>
  <c r="F6" i="99"/>
  <c r="C20" i="98"/>
  <c r="A18" i="98"/>
  <c r="G7" i="98"/>
  <c r="F7" i="98"/>
  <c r="G6" i="98"/>
  <c r="F6" i="98"/>
  <c r="C21" i="111"/>
  <c r="A18" i="111"/>
  <c r="K14" i="111"/>
  <c r="I14" i="111"/>
  <c r="I9" i="111"/>
  <c r="G7" i="111"/>
  <c r="F7" i="111"/>
  <c r="G6" i="111"/>
  <c r="F6" i="111"/>
  <c r="C20" i="55"/>
  <c r="A18" i="55"/>
  <c r="G7" i="55"/>
  <c r="F7" i="55"/>
  <c r="G6" i="55"/>
  <c r="F6" i="55"/>
  <c r="C20" i="96"/>
  <c r="A18" i="96"/>
  <c r="G7" i="96"/>
  <c r="F7" i="96"/>
  <c r="G6" i="96"/>
  <c r="F6" i="96"/>
  <c r="C31" i="69"/>
  <c r="C18" i="69"/>
  <c r="Q14" i="69"/>
  <c r="O14" i="69"/>
  <c r="O15" i="69" s="1"/>
  <c r="K14" i="69"/>
  <c r="I14" i="69"/>
  <c r="I15" i="69" s="1"/>
  <c r="Q13" i="69"/>
  <c r="O13" i="69"/>
  <c r="K13" i="69"/>
  <c r="I13" i="69"/>
  <c r="G7" i="69"/>
  <c r="F7" i="69"/>
  <c r="G6" i="69"/>
  <c r="F6" i="69"/>
  <c r="J34" i="2"/>
  <c r="O34" i="2" s="1"/>
  <c r="R9" i="69" s="1"/>
  <c r="D31" i="2"/>
  <c r="D30" i="2"/>
  <c r="D29" i="2"/>
  <c r="D28" i="2"/>
  <c r="D27" i="2"/>
  <c r="J25" i="2"/>
  <c r="O25" i="2" s="1"/>
  <c r="C23" i="2"/>
  <c r="J16" i="2"/>
  <c r="O16" i="2" s="1"/>
  <c r="A13" i="2"/>
  <c r="C13" i="2" s="1"/>
  <c r="C10" i="2"/>
  <c r="D10" i="2" s="1"/>
  <c r="C9" i="2"/>
  <c r="C8" i="2"/>
  <c r="J7" i="2"/>
  <c r="O7" i="2" s="1"/>
  <c r="L9" i="69" s="1"/>
  <c r="C7" i="2"/>
  <c r="C6" i="2"/>
  <c r="D13" i="2" s="1"/>
  <c r="C5" i="2"/>
  <c r="K45" i="2" s="1"/>
  <c r="R11" i="100"/>
  <c r="J43" i="2"/>
  <c r="E53" i="69"/>
  <c r="E62" i="96"/>
  <c r="D62" i="96"/>
  <c r="B62" i="96"/>
  <c r="E56" i="55"/>
  <c r="D56" i="55"/>
  <c r="B56" i="55"/>
  <c r="E58" i="111"/>
  <c r="D58" i="111"/>
  <c r="A58" i="111"/>
  <c r="E59" i="98"/>
  <c r="D59" i="98"/>
  <c r="A59" i="98"/>
  <c r="E59" i="99"/>
  <c r="D59" i="99"/>
  <c r="A59" i="99"/>
  <c r="K14" i="99"/>
  <c r="I14" i="99"/>
  <c r="E61" i="87"/>
  <c r="D61" i="87"/>
  <c r="B61" i="87"/>
  <c r="E56" i="88"/>
  <c r="D56" i="88"/>
  <c r="B56" i="88"/>
  <c r="E58" i="107"/>
  <c r="D58" i="107"/>
  <c r="B58" i="107"/>
  <c r="E58" i="108"/>
  <c r="D58" i="108"/>
  <c r="B58" i="108"/>
  <c r="E55" i="100"/>
  <c r="D55" i="100"/>
  <c r="A55" i="100"/>
  <c r="E48" i="76"/>
  <c r="D48" i="76"/>
  <c r="B48" i="76"/>
  <c r="E53" i="105"/>
  <c r="D53" i="105"/>
  <c r="B53" i="105"/>
  <c r="E52" i="101"/>
  <c r="D52" i="101"/>
  <c r="A52" i="101"/>
  <c r="E60" i="112"/>
  <c r="D60" i="112"/>
  <c r="A60" i="112"/>
  <c r="K14" i="112"/>
  <c r="I14" i="112"/>
  <c r="E60" i="75"/>
  <c r="D60" i="75"/>
  <c r="A60" i="75"/>
  <c r="K14" i="75"/>
  <c r="I14" i="75"/>
  <c r="E59" i="43"/>
  <c r="D59" i="43"/>
  <c r="B59" i="43"/>
  <c r="K14" i="43"/>
  <c r="I14" i="43"/>
  <c r="E60" i="73"/>
  <c r="D60" i="73"/>
  <c r="B60" i="73"/>
  <c r="K14" i="73"/>
  <c r="I14" i="73"/>
  <c r="E57" i="106"/>
  <c r="D57" i="106"/>
  <c r="B57" i="106"/>
  <c r="K14" i="106"/>
  <c r="I14" i="106"/>
  <c r="E59" i="103"/>
  <c r="D59" i="103"/>
  <c r="B59" i="103"/>
  <c r="E56" i="104"/>
  <c r="D56" i="104"/>
  <c r="B56" i="104"/>
  <c r="E58" i="109"/>
  <c r="D58" i="109"/>
  <c r="B58" i="109"/>
  <c r="K14" i="109"/>
  <c r="I14" i="109"/>
  <c r="E56" i="110"/>
  <c r="D56" i="110"/>
  <c r="B56" i="110"/>
  <c r="J10" i="125" l="1"/>
  <c r="J8" i="124"/>
  <c r="L8" i="124" s="1"/>
  <c r="J8" i="125"/>
  <c r="J10" i="123"/>
  <c r="L13" i="123" s="1"/>
  <c r="J8" i="123"/>
  <c r="J10" i="124"/>
  <c r="L10" i="121"/>
  <c r="L10" i="108"/>
  <c r="L10" i="98"/>
  <c r="L10" i="107"/>
  <c r="B15" i="107" s="1"/>
  <c r="L10" i="105"/>
  <c r="L10" i="100"/>
  <c r="L10" i="87"/>
  <c r="L10" i="123"/>
  <c r="L10" i="55"/>
  <c r="L10" i="122"/>
  <c r="L10" i="96"/>
  <c r="L10" i="69"/>
  <c r="L15" i="124"/>
  <c r="L15" i="125"/>
  <c r="L9" i="123"/>
  <c r="L8" i="123" s="1"/>
  <c r="D23" i="123" s="1"/>
  <c r="L9" i="125"/>
  <c r="L8" i="125" s="1"/>
  <c r="G20" i="123"/>
  <c r="F23" i="123"/>
  <c r="F21" i="123"/>
  <c r="D21" i="123"/>
  <c r="F22" i="123"/>
  <c r="F20" i="123"/>
  <c r="E20" i="123"/>
  <c r="D22" i="123"/>
  <c r="D20" i="123"/>
  <c r="G21" i="123"/>
  <c r="E23" i="123"/>
  <c r="E21" i="123"/>
  <c r="B12" i="73"/>
  <c r="L9" i="122"/>
  <c r="L9" i="55"/>
  <c r="L9" i="100"/>
  <c r="L9" i="111"/>
  <c r="L9" i="76"/>
  <c r="L9" i="98"/>
  <c r="L9" i="101"/>
  <c r="L9" i="99"/>
  <c r="L9" i="108"/>
  <c r="L9" i="105"/>
  <c r="L9" i="87"/>
  <c r="L9" i="96"/>
  <c r="L9" i="121"/>
  <c r="L9" i="107"/>
  <c r="R9" i="100"/>
  <c r="O43" i="2"/>
  <c r="L15" i="75"/>
  <c r="J10" i="122"/>
  <c r="L13" i="122" s="1"/>
  <c r="J8" i="122"/>
  <c r="J8" i="121"/>
  <c r="J10" i="121"/>
  <c r="L13" i="121" s="1"/>
  <c r="R15" i="100"/>
  <c r="D14" i="120"/>
  <c r="A14" i="120" s="1"/>
  <c r="D9" i="120"/>
  <c r="A9" i="120" s="1"/>
  <c r="D16" i="120"/>
  <c r="A16" i="120" s="1"/>
  <c r="D23" i="120"/>
  <c r="A23" i="120" s="1"/>
  <c r="L15" i="109"/>
  <c r="L15" i="73"/>
  <c r="L15" i="43"/>
  <c r="L15" i="106"/>
  <c r="L15" i="112"/>
  <c r="L15" i="99"/>
  <c r="B13" i="99" s="1"/>
  <c r="P10" i="100"/>
  <c r="P8" i="100"/>
  <c r="I43" i="2"/>
  <c r="G43" i="2" s="1"/>
  <c r="G35" i="100"/>
  <c r="F35" i="100"/>
  <c r="E35" i="100"/>
  <c r="D35" i="100"/>
  <c r="E20" i="111"/>
  <c r="D20" i="111"/>
  <c r="E19" i="111"/>
  <c r="D19" i="111"/>
  <c r="R9" i="105"/>
  <c r="R9" i="76"/>
  <c r="R11" i="105"/>
  <c r="R11" i="76"/>
  <c r="I45" i="2"/>
  <c r="L11" i="110"/>
  <c r="L11" i="109"/>
  <c r="L11" i="104"/>
  <c r="L11" i="103"/>
  <c r="L11" i="106"/>
  <c r="L11" i="73"/>
  <c r="L11" i="43"/>
  <c r="L11" i="75"/>
  <c r="L11" i="112"/>
  <c r="L11" i="88"/>
  <c r="L9" i="110"/>
  <c r="L9" i="109"/>
  <c r="L9" i="104"/>
  <c r="L9" i="103"/>
  <c r="L9" i="106"/>
  <c r="L9" i="73"/>
  <c r="L9" i="43"/>
  <c r="L9" i="75"/>
  <c r="L9" i="112"/>
  <c r="L9" i="88"/>
  <c r="P10" i="105"/>
  <c r="P8" i="105"/>
  <c r="P10" i="76"/>
  <c r="P8" i="76"/>
  <c r="L15" i="110"/>
  <c r="L15" i="104"/>
  <c r="L15" i="103"/>
  <c r="L15" i="101"/>
  <c r="R15" i="76"/>
  <c r="L15" i="76"/>
  <c r="L15" i="100"/>
  <c r="J10" i="110"/>
  <c r="J8" i="110"/>
  <c r="J10" i="109"/>
  <c r="J8" i="109"/>
  <c r="J10" i="104"/>
  <c r="J8" i="104"/>
  <c r="J10" i="103"/>
  <c r="J8" i="103"/>
  <c r="J10" i="106"/>
  <c r="J8" i="106"/>
  <c r="J10" i="73"/>
  <c r="J8" i="73"/>
  <c r="J10" i="43"/>
  <c r="J8" i="43"/>
  <c r="J10" i="75"/>
  <c r="J8" i="75"/>
  <c r="L8" i="75" s="1"/>
  <c r="J10" i="112"/>
  <c r="J8" i="112"/>
  <c r="J10" i="101"/>
  <c r="J8" i="101"/>
  <c r="J10" i="105"/>
  <c r="L13" i="105" s="1"/>
  <c r="J8" i="105"/>
  <c r="J10" i="76"/>
  <c r="J8" i="76"/>
  <c r="J10" i="100"/>
  <c r="J8" i="100"/>
  <c r="J10" i="108"/>
  <c r="L13" i="108" s="1"/>
  <c r="J8" i="108"/>
  <c r="J10" i="107"/>
  <c r="L13" i="107" s="1"/>
  <c r="L14" i="107" s="1"/>
  <c r="L15" i="107" s="1"/>
  <c r="M15" i="107" s="1"/>
  <c r="J8" i="107"/>
  <c r="L8" i="107" s="1"/>
  <c r="D5" i="2"/>
  <c r="D10" i="120" s="1"/>
  <c r="A10" i="120" s="1"/>
  <c r="D6" i="2"/>
  <c r="D15" i="120" s="1"/>
  <c r="A15" i="120" s="1"/>
  <c r="D7" i="2"/>
  <c r="D8" i="120" s="1"/>
  <c r="A8" i="120" s="1"/>
  <c r="I7" i="2"/>
  <c r="G7" i="2" s="1"/>
  <c r="D8" i="2"/>
  <c r="D9" i="2"/>
  <c r="K9" i="2"/>
  <c r="I9" i="2" s="1"/>
  <c r="B13" i="2"/>
  <c r="I16" i="2"/>
  <c r="G16" i="2" s="1"/>
  <c r="K18" i="2"/>
  <c r="I18" i="2" s="1"/>
  <c r="I25" i="2"/>
  <c r="G25" i="2" s="1"/>
  <c r="K27" i="2"/>
  <c r="I27" i="2" s="1"/>
  <c r="I34" i="2"/>
  <c r="G34" i="2" s="1"/>
  <c r="K36" i="2"/>
  <c r="I36" i="2" s="1"/>
  <c r="J8" i="69"/>
  <c r="L8" i="69" s="1"/>
  <c r="P8" i="69"/>
  <c r="R8" i="69" s="1"/>
  <c r="J10" i="69"/>
  <c r="L13" i="69" s="1"/>
  <c r="P10" i="69"/>
  <c r="R13" i="69" s="1"/>
  <c r="J8" i="96"/>
  <c r="J10" i="96"/>
  <c r="L13" i="96" s="1"/>
  <c r="J8" i="55"/>
  <c r="J10" i="55"/>
  <c r="L13" i="55" s="1"/>
  <c r="J8" i="111"/>
  <c r="J10" i="111"/>
  <c r="L15" i="111"/>
  <c r="J8" i="98"/>
  <c r="J10" i="98"/>
  <c r="L13" i="98" s="1"/>
  <c r="J8" i="99"/>
  <c r="J10" i="99"/>
  <c r="J8" i="87"/>
  <c r="J10" i="87"/>
  <c r="L13" i="87" s="1"/>
  <c r="J8" i="88"/>
  <c r="J10" i="88"/>
  <c r="L15" i="88"/>
  <c r="E22" i="123" l="1"/>
  <c r="G22" i="123"/>
  <c r="L14" i="124"/>
  <c r="L13" i="124"/>
  <c r="R13" i="105"/>
  <c r="G36" i="105" s="1"/>
  <c r="L14" i="123"/>
  <c r="G24" i="123"/>
  <c r="E24" i="123"/>
  <c r="D24" i="123"/>
  <c r="F24" i="123"/>
  <c r="L8" i="101"/>
  <c r="G23" i="123"/>
  <c r="L8" i="122"/>
  <c r="R8" i="100"/>
  <c r="E26" i="125"/>
  <c r="G26" i="125"/>
  <c r="L14" i="125"/>
  <c r="L13" i="125"/>
  <c r="R14" i="105"/>
  <c r="E36" i="105"/>
  <c r="G30" i="105"/>
  <c r="F30" i="105"/>
  <c r="L14" i="105"/>
  <c r="E30" i="105"/>
  <c r="D30" i="105"/>
  <c r="L14" i="122"/>
  <c r="G24" i="122"/>
  <c r="F24" i="122"/>
  <c r="E24" i="122"/>
  <c r="D24" i="122"/>
  <c r="L14" i="87"/>
  <c r="G24" i="87"/>
  <c r="F24" i="87"/>
  <c r="E24" i="87"/>
  <c r="D24" i="87"/>
  <c r="L14" i="121"/>
  <c r="G24" i="121"/>
  <c r="F24" i="121"/>
  <c r="E24" i="121"/>
  <c r="D24" i="121"/>
  <c r="L14" i="108"/>
  <c r="G24" i="108"/>
  <c r="F24" i="108"/>
  <c r="E24" i="108"/>
  <c r="D24" i="108"/>
  <c r="G27" i="107"/>
  <c r="F27" i="107"/>
  <c r="E27" i="107"/>
  <c r="D27" i="107"/>
  <c r="G26" i="107"/>
  <c r="F26" i="107"/>
  <c r="E26" i="107"/>
  <c r="D26" i="107"/>
  <c r="L14" i="98"/>
  <c r="G24" i="98"/>
  <c r="F24" i="98"/>
  <c r="E24" i="98"/>
  <c r="D24" i="98"/>
  <c r="L14" i="55"/>
  <c r="G28" i="55"/>
  <c r="F28" i="55"/>
  <c r="E28" i="55"/>
  <c r="D28" i="55"/>
  <c r="G24" i="55"/>
  <c r="F24" i="55"/>
  <c r="E24" i="55"/>
  <c r="D24" i="55"/>
  <c r="G28" i="96"/>
  <c r="F28" i="96"/>
  <c r="E28" i="96"/>
  <c r="D28" i="96"/>
  <c r="G24" i="96"/>
  <c r="F24" i="96"/>
  <c r="E24" i="96"/>
  <c r="D24" i="96"/>
  <c r="L14" i="96"/>
  <c r="F39" i="69"/>
  <c r="E39" i="69"/>
  <c r="D39" i="69"/>
  <c r="L14" i="69"/>
  <c r="F35" i="69"/>
  <c r="E35" i="69"/>
  <c r="D35" i="69"/>
  <c r="L15" i="69"/>
  <c r="F26" i="69"/>
  <c r="E26" i="69"/>
  <c r="D26" i="69"/>
  <c r="R14" i="69"/>
  <c r="F22" i="69"/>
  <c r="E22" i="69"/>
  <c r="D22" i="69"/>
  <c r="G23" i="125"/>
  <c r="F23" i="125"/>
  <c r="E23" i="125"/>
  <c r="D23" i="125"/>
  <c r="G22" i="125"/>
  <c r="F22" i="125"/>
  <c r="E22" i="125"/>
  <c r="D22" i="125"/>
  <c r="G21" i="125"/>
  <c r="F21" i="125"/>
  <c r="E21" i="125"/>
  <c r="D21" i="125"/>
  <c r="G20" i="125"/>
  <c r="F20" i="125"/>
  <c r="E20" i="125"/>
  <c r="D20" i="125"/>
  <c r="L8" i="98"/>
  <c r="L8" i="121"/>
  <c r="D21" i="121" s="1"/>
  <c r="G22" i="122"/>
  <c r="G20" i="122"/>
  <c r="F21" i="122"/>
  <c r="F22" i="122"/>
  <c r="F20" i="122"/>
  <c r="E22" i="122"/>
  <c r="E20" i="122"/>
  <c r="F23" i="122"/>
  <c r="D22" i="122"/>
  <c r="D20" i="122"/>
  <c r="E23" i="122"/>
  <c r="E21" i="122"/>
  <c r="G23" i="122"/>
  <c r="G21" i="122"/>
  <c r="D23" i="122"/>
  <c r="D21" i="122"/>
  <c r="L8" i="104"/>
  <c r="L8" i="109"/>
  <c r="L8" i="99"/>
  <c r="D22" i="120"/>
  <c r="A22" i="120" s="1"/>
  <c r="D12" i="120"/>
  <c r="A12" i="120" s="1"/>
  <c r="D11" i="120"/>
  <c r="A11" i="120" s="1"/>
  <c r="L8" i="88"/>
  <c r="G23" i="88" s="1"/>
  <c r="D21" i="120"/>
  <c r="A21" i="120" s="1"/>
  <c r="D13" i="120"/>
  <c r="A13" i="120" s="1"/>
  <c r="C37" i="120" s="1"/>
  <c r="A37" i="120" s="1"/>
  <c r="D20" i="120"/>
  <c r="A20" i="120" s="1"/>
  <c r="D19" i="120"/>
  <c r="A19" i="120" s="1"/>
  <c r="C38" i="120" s="1"/>
  <c r="A38" i="120" s="1"/>
  <c r="D17" i="120"/>
  <c r="A17" i="120" s="1"/>
  <c r="D25" i="120"/>
  <c r="A25" i="120" s="1"/>
  <c r="D18" i="120"/>
  <c r="A18" i="120" s="1"/>
  <c r="D24" i="120"/>
  <c r="A24" i="120" s="1"/>
  <c r="L8" i="112"/>
  <c r="L8" i="110"/>
  <c r="D23" i="110" s="1"/>
  <c r="L8" i="87"/>
  <c r="E22" i="87" s="1"/>
  <c r="L8" i="73"/>
  <c r="L8" i="76"/>
  <c r="E24" i="76" s="1"/>
  <c r="L8" i="55"/>
  <c r="G23" i="55" s="1"/>
  <c r="L8" i="103"/>
  <c r="L8" i="111"/>
  <c r="L14" i="100"/>
  <c r="R8" i="76"/>
  <c r="E30" i="76" s="1"/>
  <c r="G39" i="100"/>
  <c r="F39" i="100"/>
  <c r="E39" i="100"/>
  <c r="F38" i="100"/>
  <c r="D39" i="100"/>
  <c r="G38" i="100"/>
  <c r="E38" i="100"/>
  <c r="D38" i="100"/>
  <c r="L8" i="108"/>
  <c r="F22" i="108" s="1"/>
  <c r="L8" i="43"/>
  <c r="L8" i="96"/>
  <c r="E22" i="96" s="1"/>
  <c r="R14" i="100"/>
  <c r="D40" i="100"/>
  <c r="R13" i="100"/>
  <c r="E40" i="100"/>
  <c r="F40" i="100"/>
  <c r="G40" i="100"/>
  <c r="E41" i="100"/>
  <c r="D41" i="100"/>
  <c r="F41" i="100"/>
  <c r="G41" i="100"/>
  <c r="L8" i="100"/>
  <c r="G37" i="100"/>
  <c r="F37" i="100"/>
  <c r="E37" i="100"/>
  <c r="D37" i="100"/>
  <c r="D36" i="100"/>
  <c r="G36" i="100"/>
  <c r="F36" i="100"/>
  <c r="E36" i="100"/>
  <c r="D20" i="110"/>
  <c r="E27" i="88"/>
  <c r="D27" i="88"/>
  <c r="G26" i="88"/>
  <c r="F26" i="88"/>
  <c r="E26" i="88"/>
  <c r="L14" i="88"/>
  <c r="L13" i="88"/>
  <c r="G27" i="88"/>
  <c r="F27" i="88"/>
  <c r="E23" i="88"/>
  <c r="G22" i="88"/>
  <c r="F22" i="88"/>
  <c r="E22" i="88"/>
  <c r="D22" i="88"/>
  <c r="E21" i="88"/>
  <c r="G20" i="88"/>
  <c r="F20" i="88"/>
  <c r="E20" i="88"/>
  <c r="D20" i="88"/>
  <c r="L14" i="99"/>
  <c r="L13" i="99"/>
  <c r="G23" i="98"/>
  <c r="F23" i="98"/>
  <c r="E23" i="98"/>
  <c r="D23" i="98"/>
  <c r="G22" i="98"/>
  <c r="F22" i="98"/>
  <c r="E22" i="98"/>
  <c r="D22" i="98"/>
  <c r="G21" i="98"/>
  <c r="F21" i="98"/>
  <c r="E21" i="98"/>
  <c r="D21" i="98"/>
  <c r="G20" i="98"/>
  <c r="F20" i="98"/>
  <c r="E20" i="98"/>
  <c r="D20" i="98"/>
  <c r="L14" i="111"/>
  <c r="L13" i="111"/>
  <c r="F21" i="69"/>
  <c r="E21" i="69"/>
  <c r="D21" i="69"/>
  <c r="F20" i="69"/>
  <c r="E20" i="69"/>
  <c r="D20" i="69"/>
  <c r="F19" i="69"/>
  <c r="E19" i="69"/>
  <c r="D19" i="69"/>
  <c r="F18" i="69"/>
  <c r="E18" i="69"/>
  <c r="D18" i="69"/>
  <c r="F34" i="69"/>
  <c r="E34" i="69"/>
  <c r="D34" i="69"/>
  <c r="F33" i="69"/>
  <c r="E33" i="69"/>
  <c r="D33" i="69"/>
  <c r="F32" i="69"/>
  <c r="E32" i="69"/>
  <c r="D32" i="69"/>
  <c r="F31" i="69"/>
  <c r="E31" i="69"/>
  <c r="D31" i="69"/>
  <c r="A24" i="105"/>
  <c r="A20" i="76"/>
  <c r="A31" i="100"/>
  <c r="G23" i="107"/>
  <c r="F23" i="107"/>
  <c r="E23" i="107"/>
  <c r="D23" i="107"/>
  <c r="G22" i="107"/>
  <c r="F22" i="107"/>
  <c r="E22" i="107"/>
  <c r="D22" i="107"/>
  <c r="G21" i="107"/>
  <c r="F21" i="107"/>
  <c r="E21" i="107"/>
  <c r="D21" i="107"/>
  <c r="G20" i="107"/>
  <c r="F20" i="107"/>
  <c r="E20" i="107"/>
  <c r="D20" i="107"/>
  <c r="L13" i="100"/>
  <c r="L14" i="76"/>
  <c r="L13" i="76"/>
  <c r="L8" i="105"/>
  <c r="L14" i="101"/>
  <c r="L13" i="101"/>
  <c r="L13" i="112"/>
  <c r="L14" i="112"/>
  <c r="L13" i="75"/>
  <c r="L14" i="75"/>
  <c r="L13" i="43"/>
  <c r="L14" i="43"/>
  <c r="L14" i="73"/>
  <c r="L13" i="73"/>
  <c r="L8" i="106"/>
  <c r="B15" i="106"/>
  <c r="L13" i="106"/>
  <c r="L14" i="106"/>
  <c r="L14" i="103"/>
  <c r="L13" i="103"/>
  <c r="L14" i="104"/>
  <c r="L13" i="104"/>
  <c r="L13" i="109"/>
  <c r="L14" i="109"/>
  <c r="L14" i="110"/>
  <c r="L13" i="110"/>
  <c r="R14" i="76"/>
  <c r="R13" i="76"/>
  <c r="R8" i="105"/>
  <c r="E23" i="121" l="1"/>
  <c r="D36" i="105"/>
  <c r="E21" i="121"/>
  <c r="F37" i="105"/>
  <c r="D37" i="105"/>
  <c r="E37" i="105"/>
  <c r="G37" i="105"/>
  <c r="F21" i="121"/>
  <c r="F25" i="123"/>
  <c r="E25" i="123"/>
  <c r="L15" i="123"/>
  <c r="D25" i="123"/>
  <c r="G25" i="123"/>
  <c r="G23" i="110"/>
  <c r="F23" i="121"/>
  <c r="D20" i="121"/>
  <c r="F36" i="105"/>
  <c r="G20" i="121"/>
  <c r="D23" i="121"/>
  <c r="F20" i="121"/>
  <c r="G22" i="96"/>
  <c r="E22" i="121"/>
  <c r="G22" i="121"/>
  <c r="E31" i="105"/>
  <c r="G31" i="105"/>
  <c r="D31" i="105"/>
  <c r="F31" i="105"/>
  <c r="D24" i="125"/>
  <c r="D26" i="125"/>
  <c r="G24" i="125"/>
  <c r="F24" i="125"/>
  <c r="E24" i="125"/>
  <c r="F26" i="125"/>
  <c r="D22" i="121"/>
  <c r="G21" i="121"/>
  <c r="F25" i="125"/>
  <c r="E25" i="125"/>
  <c r="F27" i="125"/>
  <c r="G25" i="125"/>
  <c r="G27" i="125"/>
  <c r="E27" i="125"/>
  <c r="D27" i="125"/>
  <c r="D25" i="125"/>
  <c r="R15" i="105"/>
  <c r="L15" i="105"/>
  <c r="G35" i="105"/>
  <c r="F35" i="105"/>
  <c r="E35" i="105"/>
  <c r="D35" i="105"/>
  <c r="G34" i="105"/>
  <c r="F34" i="105"/>
  <c r="E34" i="105"/>
  <c r="D34" i="105"/>
  <c r="L15" i="122"/>
  <c r="G25" i="122"/>
  <c r="F25" i="122"/>
  <c r="E25" i="122"/>
  <c r="D25" i="122"/>
  <c r="L15" i="87"/>
  <c r="G25" i="87"/>
  <c r="F25" i="87"/>
  <c r="E25" i="87"/>
  <c r="D25" i="87"/>
  <c r="L15" i="121"/>
  <c r="G25" i="121"/>
  <c r="F25" i="121"/>
  <c r="E25" i="121"/>
  <c r="D25" i="121"/>
  <c r="L15" i="108"/>
  <c r="G25" i="108"/>
  <c r="F25" i="108"/>
  <c r="E25" i="108"/>
  <c r="D25" i="108"/>
  <c r="G24" i="107"/>
  <c r="F24" i="107"/>
  <c r="E24" i="107"/>
  <c r="D24" i="107"/>
  <c r="G25" i="107"/>
  <c r="F25" i="107"/>
  <c r="E25" i="107"/>
  <c r="D25" i="107"/>
  <c r="L15" i="98"/>
  <c r="G25" i="98"/>
  <c r="F25" i="98"/>
  <c r="E25" i="98"/>
  <c r="D25" i="98"/>
  <c r="L15" i="55"/>
  <c r="G29" i="55"/>
  <c r="F29" i="55"/>
  <c r="E29" i="55"/>
  <c r="D29" i="55"/>
  <c r="G25" i="55"/>
  <c r="F25" i="55"/>
  <c r="E25" i="55"/>
  <c r="D25" i="55"/>
  <c r="G29" i="96"/>
  <c r="F29" i="96"/>
  <c r="E29" i="96"/>
  <c r="D29" i="96"/>
  <c r="G25" i="96"/>
  <c r="F25" i="96"/>
  <c r="L15" i="96"/>
  <c r="E25" i="96"/>
  <c r="D25" i="96"/>
  <c r="F41" i="69"/>
  <c r="E41" i="69"/>
  <c r="D41" i="69"/>
  <c r="F40" i="69"/>
  <c r="E40" i="69"/>
  <c r="D40" i="69"/>
  <c r="M15" i="69"/>
  <c r="F37" i="69"/>
  <c r="E37" i="69"/>
  <c r="D37" i="69"/>
  <c r="F36" i="69"/>
  <c r="E36" i="69"/>
  <c r="D36" i="69"/>
  <c r="F27" i="69"/>
  <c r="E27" i="69"/>
  <c r="D27" i="69"/>
  <c r="R15" i="69"/>
  <c r="F23" i="69"/>
  <c r="E23" i="69"/>
  <c r="D23" i="69"/>
  <c r="E23" i="96"/>
  <c r="E20" i="121"/>
  <c r="F22" i="121"/>
  <c r="G23" i="121"/>
  <c r="D22" i="55"/>
  <c r="F20" i="87"/>
  <c r="D22" i="108"/>
  <c r="D23" i="96"/>
  <c r="F22" i="55"/>
  <c r="D20" i="96"/>
  <c r="F20" i="96"/>
  <c r="F20" i="55"/>
  <c r="D21" i="96"/>
  <c r="G20" i="55"/>
  <c r="F22" i="96"/>
  <c r="F21" i="55"/>
  <c r="E21" i="110"/>
  <c r="F22" i="87"/>
  <c r="F21" i="110"/>
  <c r="G20" i="96"/>
  <c r="E22" i="55"/>
  <c r="D21" i="88"/>
  <c r="D23" i="88"/>
  <c r="G21" i="110"/>
  <c r="G21" i="87"/>
  <c r="G21" i="96"/>
  <c r="D20" i="55"/>
  <c r="G22" i="55"/>
  <c r="F21" i="88"/>
  <c r="F23" i="88"/>
  <c r="F22" i="110"/>
  <c r="D21" i="87"/>
  <c r="D22" i="110"/>
  <c r="D22" i="96"/>
  <c r="E20" i="55"/>
  <c r="D23" i="55"/>
  <c r="G21" i="88"/>
  <c r="G22" i="110"/>
  <c r="G22" i="87"/>
  <c r="E21" i="96"/>
  <c r="F23" i="96"/>
  <c r="D21" i="55"/>
  <c r="E23" i="55"/>
  <c r="D23" i="87"/>
  <c r="F20" i="110"/>
  <c r="E23" i="110"/>
  <c r="G21" i="108"/>
  <c r="F21" i="96"/>
  <c r="G23" i="96"/>
  <c r="E21" i="55"/>
  <c r="F23" i="55"/>
  <c r="G23" i="87"/>
  <c r="G20" i="110"/>
  <c r="F23" i="110"/>
  <c r="G20" i="87"/>
  <c r="D20" i="108"/>
  <c r="G22" i="108"/>
  <c r="E21" i="87"/>
  <c r="E23" i="87"/>
  <c r="F30" i="76"/>
  <c r="E20" i="108"/>
  <c r="D23" i="108"/>
  <c r="F21" i="87"/>
  <c r="F23" i="87"/>
  <c r="E20" i="110"/>
  <c r="E22" i="110"/>
  <c r="G20" i="108"/>
  <c r="E23" i="108"/>
  <c r="E22" i="108"/>
  <c r="D21" i="108"/>
  <c r="G23" i="108"/>
  <c r="D20" i="87"/>
  <c r="D22" i="87"/>
  <c r="F21" i="108"/>
  <c r="E20" i="87"/>
  <c r="D21" i="110"/>
  <c r="G24" i="76"/>
  <c r="D24" i="76"/>
  <c r="E21" i="108"/>
  <c r="F23" i="108"/>
  <c r="F24" i="76"/>
  <c r="D29" i="76"/>
  <c r="D27" i="76"/>
  <c r="E29" i="76"/>
  <c r="E27" i="76"/>
  <c r="F20" i="108"/>
  <c r="E20" i="96"/>
  <c r="G21" i="55"/>
  <c r="F29" i="76"/>
  <c r="F27" i="76"/>
  <c r="G30" i="76"/>
  <c r="G29" i="76"/>
  <c r="G27" i="76"/>
  <c r="D30" i="76"/>
  <c r="G29" i="105"/>
  <c r="F29" i="105"/>
  <c r="E29" i="105"/>
  <c r="D29" i="105"/>
  <c r="G28" i="105"/>
  <c r="F28" i="105"/>
  <c r="E28" i="105"/>
  <c r="D28" i="105"/>
  <c r="G25" i="76"/>
  <c r="F25" i="76"/>
  <c r="E25" i="76"/>
  <c r="D25" i="76"/>
  <c r="G26" i="76"/>
  <c r="F26" i="76"/>
  <c r="E26" i="76"/>
  <c r="D26" i="76"/>
  <c r="G31" i="76"/>
  <c r="F31" i="76"/>
  <c r="E31" i="76"/>
  <c r="D31" i="76"/>
  <c r="G32" i="76"/>
  <c r="F32" i="76"/>
  <c r="E32" i="76"/>
  <c r="D32" i="76"/>
  <c r="G24" i="110"/>
  <c r="F24" i="110"/>
  <c r="E24" i="110"/>
  <c r="D24" i="110"/>
  <c r="G25" i="110"/>
  <c r="F25" i="110"/>
  <c r="E25" i="110"/>
  <c r="D25" i="110"/>
  <c r="D26" i="88"/>
  <c r="G24" i="88"/>
  <c r="F24" i="88"/>
  <c r="E24" i="88"/>
  <c r="D24" i="88"/>
  <c r="G25" i="88"/>
  <c r="F25" i="88"/>
  <c r="E25" i="88"/>
  <c r="D25" i="88"/>
  <c r="G32" i="105" l="1"/>
  <c r="E32" i="105"/>
  <c r="D32" i="105"/>
  <c r="F32" i="105"/>
  <c r="E38" i="105"/>
  <c r="F38" i="105"/>
  <c r="D38" i="105"/>
  <c r="G38" i="105"/>
  <c r="M15" i="123"/>
  <c r="G26" i="123"/>
  <c r="F26" i="123"/>
  <c r="E26" i="123"/>
  <c r="D26" i="123"/>
  <c r="S15" i="105"/>
  <c r="M15" i="105"/>
  <c r="M15" i="122"/>
  <c r="G26" i="122"/>
  <c r="F26" i="122"/>
  <c r="E26" i="122"/>
  <c r="D26" i="122"/>
  <c r="M15" i="87"/>
  <c r="G26" i="87"/>
  <c r="F26" i="87"/>
  <c r="E26" i="87"/>
  <c r="D26" i="87"/>
  <c r="M15" i="121"/>
  <c r="G26" i="121"/>
  <c r="F26" i="121"/>
  <c r="E26" i="121"/>
  <c r="D26" i="121"/>
  <c r="M15" i="108"/>
  <c r="G26" i="108"/>
  <c r="F26" i="108"/>
  <c r="E26" i="108"/>
  <c r="D26" i="108"/>
  <c r="M15" i="98"/>
  <c r="G26" i="98"/>
  <c r="F26" i="98"/>
  <c r="E26" i="98"/>
  <c r="D26" i="98"/>
  <c r="M15" i="55"/>
  <c r="G30" i="55"/>
  <c r="F30" i="55"/>
  <c r="E30" i="55"/>
  <c r="D30" i="55"/>
  <c r="G26" i="55"/>
  <c r="F26" i="55"/>
  <c r="E26" i="55"/>
  <c r="D26" i="55"/>
  <c r="G30" i="96"/>
  <c r="F30" i="96"/>
  <c r="E30" i="96"/>
  <c r="D30" i="96"/>
  <c r="G26" i="96"/>
  <c r="F26" i="96"/>
  <c r="E26" i="96"/>
  <c r="D26" i="96"/>
  <c r="M15" i="96"/>
  <c r="F42" i="69"/>
  <c r="E42" i="69"/>
  <c r="D42" i="69"/>
  <c r="F38" i="69"/>
  <c r="E38" i="69"/>
  <c r="D38" i="69"/>
  <c r="F28" i="69"/>
  <c r="E28" i="69"/>
  <c r="D28" i="69"/>
  <c r="S15" i="69"/>
  <c r="F24" i="69"/>
  <c r="E24" i="69"/>
  <c r="D24" i="69"/>
  <c r="G33" i="105" l="1"/>
  <c r="D33" i="105"/>
  <c r="F33" i="105"/>
  <c r="E33" i="105"/>
  <c r="E39" i="105"/>
  <c r="G39" i="105"/>
  <c r="F39" i="105"/>
  <c r="D39" i="105"/>
  <c r="G27" i="123"/>
  <c r="E27" i="123"/>
  <c r="D27" i="123"/>
  <c r="F27" i="123"/>
  <c r="G27" i="122"/>
  <c r="F27" i="122"/>
  <c r="E27" i="122"/>
  <c r="D27" i="122"/>
  <c r="G27" i="87"/>
  <c r="F27" i="87"/>
  <c r="E27" i="87"/>
  <c r="D27" i="87"/>
  <c r="G27" i="121"/>
  <c r="F27" i="121"/>
  <c r="E27" i="121"/>
  <c r="D27" i="121"/>
  <c r="G27" i="108"/>
  <c r="F27" i="108"/>
  <c r="E27" i="108"/>
  <c r="D27" i="108"/>
  <c r="G27" i="98"/>
  <c r="F27" i="98"/>
  <c r="E27" i="98"/>
  <c r="D27" i="98"/>
  <c r="G31" i="55"/>
  <c r="F31" i="55"/>
  <c r="E31" i="55"/>
  <c r="D31" i="55"/>
  <c r="G27" i="55"/>
  <c r="F27" i="55"/>
  <c r="E27" i="55"/>
  <c r="D27" i="55"/>
  <c r="G31" i="96"/>
  <c r="F31" i="96"/>
  <c r="E31" i="96"/>
  <c r="D31" i="96"/>
  <c r="G27" i="96"/>
  <c r="F27" i="96"/>
  <c r="E27" i="96"/>
  <c r="D27" i="96"/>
  <c r="F29" i="69"/>
  <c r="E29" i="69"/>
  <c r="D29" i="69"/>
  <c r="F25" i="69"/>
  <c r="E25" i="69"/>
  <c r="D25" i="69"/>
</calcChain>
</file>

<file path=xl/comments1.xml><?xml version="1.0" encoding="utf-8"?>
<comments xmlns="http://schemas.openxmlformats.org/spreadsheetml/2006/main">
  <authors>
    <author>さすけい</author>
    <author>CAMEL</author>
  </authors>
  <commentList>
    <comment ref="M11" authorId="0" shapeId="0">
      <text>
        <r>
          <rPr>
            <b/>
            <sz val="9"/>
            <color indexed="81"/>
            <rFont val="ＭＳ Ｐゴシック"/>
            <family val="3"/>
            <charset val="128"/>
          </rPr>
          <t>さすけい:</t>
        </r>
        <r>
          <rPr>
            <sz val="9"/>
            <color indexed="81"/>
            <rFont val="ＭＳ Ｐゴシック"/>
            <family val="3"/>
            <charset val="128"/>
          </rPr>
          <t xml:space="preserve">
隠密の数字、結局
コレで正しいか
自信無し</t>
        </r>
      </text>
    </comment>
    <comment ref="P11" authorId="1" shapeId="0">
      <text>
        <r>
          <rPr>
            <b/>
            <sz val="9"/>
            <color indexed="81"/>
            <rFont val="ＭＳ Ｐゴシック"/>
            <family val="3"/>
            <charset val="128"/>
          </rPr>
          <t>CAMEL:</t>
        </r>
        <r>
          <rPr>
            <sz val="9"/>
            <color indexed="81"/>
            <rFont val="ＭＳ Ｐゴシック"/>
            <family val="3"/>
            <charset val="128"/>
          </rPr>
          <t xml:space="preserve">
結論
ダガーブーツのー２がされていなかった。
＋冒険者キットの防音靴底 で+1なんだそうな。</t>
        </r>
      </text>
    </comment>
  </commentList>
</comments>
</file>

<file path=xl/comments2.xml><?xml version="1.0" encoding="utf-8"?>
<comments xmlns="http://schemas.openxmlformats.org/spreadsheetml/2006/main">
  <authors>
    <author>CAMEL</author>
    <author>さすけい</author>
  </authors>
  <commentList>
    <comment ref="H40" authorId="0" shapeId="0">
      <text>
        <r>
          <rPr>
            <b/>
            <sz val="9"/>
            <color indexed="81"/>
            <rFont val="ＭＳ Ｐゴシック"/>
            <family val="3"/>
            <charset val="128"/>
          </rPr>
          <t>CAMEL:</t>
        </r>
        <r>
          <rPr>
            <sz val="9"/>
            <color indexed="81"/>
            <rFont val="ＭＳ Ｐゴシック"/>
            <family val="3"/>
            <charset val="128"/>
          </rPr>
          <t xml:space="preserve">
CDって攻撃パワー扱いなんかな・</t>
        </r>
      </text>
    </comment>
    <comment ref="H41" authorId="1" shapeId="0">
      <text>
        <r>
          <rPr>
            <b/>
            <sz val="9"/>
            <color indexed="81"/>
            <rFont val="ＭＳ Ｐゴシック"/>
            <family val="3"/>
            <charset val="128"/>
          </rPr>
          <t>さすけい:</t>
        </r>
        <r>
          <rPr>
            <sz val="9"/>
            <color indexed="81"/>
            <rFont val="ＭＳ Ｐゴシック"/>
            <family val="3"/>
            <charset val="128"/>
          </rPr>
          <t xml:space="preserve">
多少疑惑はあるものの
マスター裁定で
ＯＫ出てます</t>
        </r>
      </text>
    </comment>
  </commentList>
</comments>
</file>

<file path=xl/comments3.xml><?xml version="1.0" encoding="utf-8"?>
<comments xmlns="http://schemas.openxmlformats.org/spreadsheetml/2006/main">
  <authors>
    <author>さすけい</author>
  </authors>
  <commentList>
    <comment ref="H38" authorId="0" shapeId="0">
      <text>
        <r>
          <rPr>
            <b/>
            <sz val="9"/>
            <color indexed="81"/>
            <rFont val="ＭＳ Ｐゴシック"/>
            <family val="3"/>
            <charset val="128"/>
          </rPr>
          <t>さすけい:</t>
        </r>
        <r>
          <rPr>
            <sz val="9"/>
            <color indexed="81"/>
            <rFont val="ＭＳ Ｐゴシック"/>
            <family val="3"/>
            <charset val="128"/>
          </rPr>
          <t xml:space="preserve">
装具キーワード無いと
ここまで酷い数字に</t>
        </r>
      </text>
    </comment>
  </commentList>
</comments>
</file>

<file path=xl/comments4.xml><?xml version="1.0" encoding="utf-8"?>
<comments xmlns="http://schemas.openxmlformats.org/spreadsheetml/2006/main">
  <authors>
    <author>CAMEL</author>
    <author>さすけい</author>
  </authors>
  <commentList>
    <comment ref="I9" authorId="0" shapeId="0">
      <text>
        <r>
          <rPr>
            <b/>
            <sz val="9"/>
            <color indexed="81"/>
            <rFont val="ＭＳ Ｐゴシック"/>
            <family val="3"/>
            <charset val="128"/>
          </rPr>
          <t>CAMEL:
チョイ特殊なんで、
そのまま手書き</t>
        </r>
        <r>
          <rPr>
            <sz val="9"/>
            <color indexed="81"/>
            <rFont val="ＭＳ Ｐゴシック"/>
            <family val="3"/>
            <charset val="128"/>
          </rPr>
          <t xml:space="preserve">
</t>
        </r>
      </text>
    </comment>
    <comment ref="H40" authorId="1" shapeId="0">
      <text>
        <r>
          <rPr>
            <b/>
            <sz val="9"/>
            <color indexed="81"/>
            <rFont val="ＭＳ Ｐゴシック"/>
            <family val="3"/>
            <charset val="128"/>
          </rPr>
          <t>さすけい:</t>
        </r>
        <r>
          <rPr>
            <sz val="9"/>
            <color indexed="81"/>
            <rFont val="ＭＳ Ｐゴシック"/>
            <family val="3"/>
            <charset val="128"/>
          </rPr>
          <t xml:space="preserve">
普通の召喚と違って
むしろ
基礎攻撃しかないです
雑魚の基本仕様か？</t>
        </r>
      </text>
    </comment>
  </commentList>
</comments>
</file>

<file path=xl/sharedStrings.xml><?xml version="1.0" encoding="utf-8"?>
<sst xmlns="http://schemas.openxmlformats.org/spreadsheetml/2006/main" count="3198" uniqueCount="1019">
  <si>
    <t>パワー名</t>
    <rPh sb="3" eb="4">
      <t>メイ</t>
    </rPh>
    <phoneticPr fontId="1"/>
  </si>
  <si>
    <t>戦術的優位</t>
    <rPh sb="0" eb="3">
      <t>センジュツテキ</t>
    </rPh>
    <rPh sb="3" eb="5">
      <t>ユウイ</t>
    </rPh>
    <phoneticPr fontId="1"/>
  </si>
  <si>
    <t>通常</t>
    <rPh sb="0" eb="2">
      <t>ツウジョウ</t>
    </rPh>
    <phoneticPr fontId="1"/>
  </si>
  <si>
    <t>クリティカル</t>
    <phoneticPr fontId="1"/>
  </si>
  <si>
    <t>ダメージ</t>
    <phoneticPr fontId="1"/>
  </si>
  <si>
    <t>標準アクション</t>
    <rPh sb="0" eb="2">
      <t>ヒョウジュン</t>
    </rPh>
    <phoneticPr fontId="1"/>
  </si>
  <si>
    <t>目標</t>
    <rPh sb="0" eb="2">
      <t>モクヒョウ</t>
    </rPh>
    <phoneticPr fontId="1"/>
  </si>
  <si>
    <t>アクション</t>
    <phoneticPr fontId="1"/>
  </si>
  <si>
    <t>攻撃</t>
    <rPh sb="0" eb="2">
      <t>コウゲキ</t>
    </rPh>
    <phoneticPr fontId="1"/>
  </si>
  <si>
    <t>ヒット</t>
    <phoneticPr fontId="1"/>
  </si>
  <si>
    <t>現在値</t>
    <rPh sb="0" eb="2">
      <t>ゲンザイ</t>
    </rPh>
    <rPh sb="2" eb="3">
      <t>アタイ</t>
    </rPh>
    <phoneticPr fontId="1"/>
  </si>
  <si>
    <t>能力値修正</t>
    <rPh sb="0" eb="3">
      <t>ノウリョクチ</t>
    </rPh>
    <rPh sb="3" eb="5">
      <t>シュウセイ</t>
    </rPh>
    <phoneticPr fontId="1"/>
  </si>
  <si>
    <t>筋力</t>
    <rPh sb="0" eb="2">
      <t>キンリョク</t>
    </rPh>
    <phoneticPr fontId="1"/>
  </si>
  <si>
    <t>耐久力</t>
    <rPh sb="0" eb="3">
      <t>タイキュウリョク</t>
    </rPh>
    <phoneticPr fontId="1"/>
  </si>
  <si>
    <t>敏捷力</t>
    <rPh sb="0" eb="2">
      <t>ビンショウ</t>
    </rPh>
    <rPh sb="2" eb="3">
      <t>リョク</t>
    </rPh>
    <phoneticPr fontId="1"/>
  </si>
  <si>
    <t>知力</t>
    <rPh sb="0" eb="2">
      <t>チリョク</t>
    </rPh>
    <phoneticPr fontId="1"/>
  </si>
  <si>
    <t>判断力</t>
    <rPh sb="0" eb="3">
      <t>ハンダンリョク</t>
    </rPh>
    <phoneticPr fontId="1"/>
  </si>
  <si>
    <t>魅力</t>
    <rPh sb="0" eb="2">
      <t>ミリョク</t>
    </rPh>
    <phoneticPr fontId="1"/>
  </si>
  <si>
    <t>AC</t>
    <phoneticPr fontId="1"/>
  </si>
  <si>
    <t>頑健</t>
    <rPh sb="0" eb="2">
      <t>ガンケン</t>
    </rPh>
    <phoneticPr fontId="1"/>
  </si>
  <si>
    <t>反応</t>
    <rPh sb="0" eb="2">
      <t>ハンノウ</t>
    </rPh>
    <phoneticPr fontId="1"/>
  </si>
  <si>
    <t>意志</t>
    <rPh sb="0" eb="2">
      <t>イシ</t>
    </rPh>
    <phoneticPr fontId="1"/>
  </si>
  <si>
    <t>種別</t>
    <rPh sb="0" eb="2">
      <t>シュベツ</t>
    </rPh>
    <phoneticPr fontId="1"/>
  </si>
  <si>
    <t>命中計</t>
    <rPh sb="0" eb="2">
      <t>メイチュウ</t>
    </rPh>
    <rPh sb="2" eb="3">
      <t>ケイ</t>
    </rPh>
    <phoneticPr fontId="1"/>
  </si>
  <si>
    <t>能力</t>
    <rPh sb="0" eb="2">
      <t>ノウリョク</t>
    </rPh>
    <phoneticPr fontId="1"/>
  </si>
  <si>
    <t>修正</t>
    <rPh sb="0" eb="2">
      <t>シュウセイ</t>
    </rPh>
    <phoneticPr fontId="1"/>
  </si>
  <si>
    <t>Lv1/2</t>
    <phoneticPr fontId="1"/>
  </si>
  <si>
    <t>習熟</t>
    <rPh sb="0" eb="2">
      <t>シュウジュク</t>
    </rPh>
    <phoneticPr fontId="1"/>
  </si>
  <si>
    <t>強化</t>
    <rPh sb="0" eb="2">
      <t>キョウカ</t>
    </rPh>
    <phoneticPr fontId="1"/>
  </si>
  <si>
    <t>他</t>
    <rPh sb="0" eb="1">
      <t>ホカ</t>
    </rPh>
    <phoneticPr fontId="1"/>
  </si>
  <si>
    <t>名前</t>
    <rPh sb="0" eb="2">
      <t>ナマエ</t>
    </rPh>
    <phoneticPr fontId="1"/>
  </si>
  <si>
    <t>クラス</t>
    <phoneticPr fontId="1"/>
  </si>
  <si>
    <t>Lv</t>
    <phoneticPr fontId="1"/>
  </si>
  <si>
    <t>ダメージ</t>
    <phoneticPr fontId="1"/>
  </si>
  <si>
    <t>ボーナス</t>
    <phoneticPr fontId="1"/>
  </si>
  <si>
    <t>対象</t>
    <rPh sb="0" eb="2">
      <t>タイショウ</t>
    </rPh>
    <phoneticPr fontId="1"/>
  </si>
  <si>
    <t>追加効果・範囲など</t>
    <rPh sb="0" eb="2">
      <t>ツイカ</t>
    </rPh>
    <rPh sb="2" eb="4">
      <t>コウカ</t>
    </rPh>
    <rPh sb="5" eb="7">
      <t>ハンイ</t>
    </rPh>
    <phoneticPr fontId="1"/>
  </si>
  <si>
    <t>クリティカル</t>
    <phoneticPr fontId="1"/>
  </si>
  <si>
    <t>キーワード</t>
    <phoneticPr fontId="1"/>
  </si>
  <si>
    <t>種類</t>
    <rPh sb="0" eb="2">
      <t>シュルイ</t>
    </rPh>
    <phoneticPr fontId="1"/>
  </si>
  <si>
    <t>無限回</t>
    <rPh sb="0" eb="2">
      <t>ムゲン</t>
    </rPh>
    <rPh sb="2" eb="3">
      <t>カイ</t>
    </rPh>
    <phoneticPr fontId="1"/>
  </si>
  <si>
    <t>命中
ロール</t>
    <rPh sb="0" eb="2">
      <t>メイチュウ</t>
    </rPh>
    <phoneticPr fontId="1"/>
  </si>
  <si>
    <t>射程</t>
    <rPh sb="0" eb="2">
      <t>シャテイ</t>
    </rPh>
    <phoneticPr fontId="1"/>
  </si>
  <si>
    <t>d</t>
    <phoneticPr fontId="1"/>
  </si>
  <si>
    <t>ｄ</t>
    <phoneticPr fontId="1"/>
  </si>
  <si>
    <t>タイプ・出典</t>
    <rPh sb="4" eb="6">
      <t>シュッテン</t>
    </rPh>
    <phoneticPr fontId="1"/>
  </si>
  <si>
    <t>命中ロール＆ダメージ表</t>
    <rPh sb="0" eb="2">
      <t>メイチュウ</t>
    </rPh>
    <rPh sb="10" eb="11">
      <t>ヒョウ</t>
    </rPh>
    <phoneticPr fontId="1"/>
  </si>
  <si>
    <t>パワー詳細</t>
    <rPh sb="3" eb="5">
      <t>ショウサイ</t>
    </rPh>
    <phoneticPr fontId="1"/>
  </si>
  <si>
    <t>解説・使い時・他PCとの連携等</t>
    <rPh sb="0" eb="2">
      <t>カイセツ</t>
    </rPh>
    <rPh sb="3" eb="4">
      <t>ツカ</t>
    </rPh>
    <rPh sb="5" eb="6">
      <t>ドキ</t>
    </rPh>
    <rPh sb="7" eb="8">
      <t>タ</t>
    </rPh>
    <rPh sb="12" eb="14">
      <t>レンケイ</t>
    </rPh>
    <rPh sb="14" eb="15">
      <t>ナド</t>
    </rPh>
    <phoneticPr fontId="1"/>
  </si>
  <si>
    <t>クリティカル時</t>
    <rPh sb="6" eb="7">
      <t>ジ</t>
    </rPh>
    <phoneticPr fontId="1"/>
  </si>
  <si>
    <t>攻撃R対象</t>
    <rPh sb="0" eb="2">
      <t>コウゲキ</t>
    </rPh>
    <rPh sb="3" eb="5">
      <t>タイショウ</t>
    </rPh>
    <phoneticPr fontId="1"/>
  </si>
  <si>
    <t>ダメージ対象</t>
    <rPh sb="4" eb="6">
      <t>タイショウ</t>
    </rPh>
    <phoneticPr fontId="1"/>
  </si>
  <si>
    <t>攻撃Rボーナス</t>
    <rPh sb="0" eb="2">
      <t>コウゲキ</t>
    </rPh>
    <phoneticPr fontId="1"/>
  </si>
  <si>
    <t>ダメージボーナス</t>
    <phoneticPr fontId="1"/>
  </si>
  <si>
    <t>ここは印刷されませんが、赤字の値の入力で計算が行われます。</t>
    <rPh sb="3" eb="5">
      <t>インサツ</t>
    </rPh>
    <rPh sb="12" eb="14">
      <t>アカジ</t>
    </rPh>
    <rPh sb="15" eb="16">
      <t>アタイ</t>
    </rPh>
    <rPh sb="17" eb="19">
      <t>ニュウリョク</t>
    </rPh>
    <rPh sb="20" eb="22">
      <t>ケイサン</t>
    </rPh>
    <rPh sb="23" eb="24">
      <t>オコナ</t>
    </rPh>
    <phoneticPr fontId="1"/>
  </si>
  <si>
    <t>赤字以外の内容は変更しないでください。</t>
    <rPh sb="0" eb="2">
      <t>アカジ</t>
    </rPh>
    <rPh sb="2" eb="4">
      <t>イガイ</t>
    </rPh>
    <rPh sb="5" eb="7">
      <t>ナイヨウ</t>
    </rPh>
    <rPh sb="8" eb="10">
      <t>ヘンコウ</t>
    </rPh>
    <phoneticPr fontId="1"/>
  </si>
  <si>
    <t>遭遇毎</t>
    <rPh sb="0" eb="2">
      <t>ソウグウ</t>
    </rPh>
    <rPh sb="2" eb="3">
      <t>マイ</t>
    </rPh>
    <phoneticPr fontId="1"/>
  </si>
  <si>
    <t>命中Rパワー修正</t>
    <rPh sb="0" eb="2">
      <t>メイチュウ</t>
    </rPh>
    <rPh sb="6" eb="8">
      <t>シュウセイ</t>
    </rPh>
    <phoneticPr fontId="1"/>
  </si>
  <si>
    <t>ダメージパワー修正</t>
    <rPh sb="7" eb="9">
      <t>シュウセイ</t>
    </rPh>
    <phoneticPr fontId="1"/>
  </si>
  <si>
    <t>ダメージ種別</t>
    <rPh sb="4" eb="6">
      <t>シュベツ</t>
    </rPh>
    <phoneticPr fontId="1"/>
  </si>
  <si>
    <t>効果</t>
    <rPh sb="0" eb="2">
      <t>コウカ</t>
    </rPh>
    <phoneticPr fontId="1"/>
  </si>
  <si>
    <t>↓能力値修正</t>
    <rPh sb="1" eb="4">
      <t>ノウリョクチ</t>
    </rPh>
    <rPh sb="4" eb="6">
      <t>シュウセイ</t>
    </rPh>
    <phoneticPr fontId="1"/>
  </si>
  <si>
    <t>Ver.</t>
    <phoneticPr fontId="1"/>
  </si>
  <si>
    <t>ｄ</t>
    <phoneticPr fontId="1"/>
  </si>
  <si>
    <t>パワー</t>
    <phoneticPr fontId="1"/>
  </si>
  <si>
    <t>効果範囲</t>
    <rPh sb="0" eb="2">
      <t>コウカ</t>
    </rPh>
    <rPh sb="2" eb="4">
      <t>ハンイ</t>
    </rPh>
    <phoneticPr fontId="1"/>
  </si>
  <si>
    <t>爆発</t>
    <rPh sb="0" eb="2">
      <t>バクハツ</t>
    </rPh>
    <phoneticPr fontId="1"/>
  </si>
  <si>
    <t>火</t>
    <rPh sb="0" eb="1">
      <t>ヒ</t>
    </rPh>
    <phoneticPr fontId="1"/>
  </si>
  <si>
    <t>近接</t>
    <rPh sb="0" eb="2">
      <t>キンセツ</t>
    </rPh>
    <phoneticPr fontId="1"/>
  </si>
  <si>
    <t>近接範囲</t>
    <rPh sb="0" eb="2">
      <t>キンセツ</t>
    </rPh>
    <rPh sb="2" eb="4">
      <t>ハンイ</t>
    </rPh>
    <phoneticPr fontId="1"/>
  </si>
  <si>
    <t>遠隔</t>
    <rPh sb="0" eb="2">
      <t>エンカク</t>
    </rPh>
    <phoneticPr fontId="1"/>
  </si>
  <si>
    <t>噴射</t>
    <rPh sb="0" eb="2">
      <t>フンシャ</t>
    </rPh>
    <phoneticPr fontId="1"/>
  </si>
  <si>
    <t>接触</t>
    <rPh sb="0" eb="2">
      <t>セッショク</t>
    </rPh>
    <phoneticPr fontId="1"/>
  </si>
  <si>
    <t>光輝</t>
    <rPh sb="0" eb="1">
      <t>コウ</t>
    </rPh>
    <rPh sb="1" eb="2">
      <t>キ</t>
    </rPh>
    <phoneticPr fontId="1"/>
  </si>
  <si>
    <t>酸</t>
    <rPh sb="0" eb="1">
      <t>サン</t>
    </rPh>
    <phoneticPr fontId="1"/>
  </si>
  <si>
    <t>死霊</t>
    <rPh sb="0" eb="2">
      <t>シリョウ</t>
    </rPh>
    <phoneticPr fontId="1"/>
  </si>
  <si>
    <t>精神</t>
    <rPh sb="0" eb="2">
      <t>セイシン</t>
    </rPh>
    <phoneticPr fontId="1"/>
  </si>
  <si>
    <t>電撃</t>
    <rPh sb="0" eb="2">
      <t>デンゲキ</t>
    </rPh>
    <phoneticPr fontId="1"/>
  </si>
  <si>
    <t>毒</t>
    <rPh sb="0" eb="1">
      <t>ドク</t>
    </rPh>
    <phoneticPr fontId="1"/>
  </si>
  <si>
    <t>雷鳴</t>
    <rPh sb="0" eb="2">
      <t>ライメイ</t>
    </rPh>
    <phoneticPr fontId="1"/>
  </si>
  <si>
    <t>力場</t>
    <rPh sb="0" eb="2">
      <t>リキバ</t>
    </rPh>
    <phoneticPr fontId="1"/>
  </si>
  <si>
    <t>冷気</t>
    <rPh sb="0" eb="2">
      <t>レイキ</t>
    </rPh>
    <phoneticPr fontId="1"/>
  </si>
  <si>
    <t>遠隔範囲</t>
    <rPh sb="0" eb="2">
      <t>エンカク</t>
    </rPh>
    <rPh sb="2" eb="4">
      <t>ハンイ</t>
    </rPh>
    <phoneticPr fontId="1"/>
  </si>
  <si>
    <t>特技</t>
    <rPh sb="0" eb="2">
      <t>トクギ</t>
    </rPh>
    <phoneticPr fontId="1"/>
  </si>
  <si>
    <t>攻撃方法</t>
    <rPh sb="0" eb="2">
      <t>コウゲキ</t>
    </rPh>
    <rPh sb="2" eb="4">
      <t>ホウホウ</t>
    </rPh>
    <phoneticPr fontId="1"/>
  </si>
  <si>
    <t>ダメージダイス</t>
    <phoneticPr fontId="1"/>
  </si>
  <si>
    <t>HP</t>
    <phoneticPr fontId="1"/>
  </si>
  <si>
    <t>使用者</t>
    <rPh sb="0" eb="3">
      <t>シヨウシャ</t>
    </rPh>
    <phoneticPr fontId="1"/>
  </si>
  <si>
    <t>.</t>
    <phoneticPr fontId="1"/>
  </si>
  <si>
    <t>AC</t>
  </si>
  <si>
    <t>クリーチャー１体</t>
    <rPh sb="7" eb="8">
      <t>タイ</t>
    </rPh>
    <phoneticPr fontId="1"/>
  </si>
  <si>
    <t>ＡＣ</t>
    <phoneticPr fontId="1"/>
  </si>
  <si>
    <t>移動力</t>
    <rPh sb="0" eb="2">
      <t>イドウ</t>
    </rPh>
    <rPh sb="2" eb="3">
      <t>リョク</t>
    </rPh>
    <phoneticPr fontId="1"/>
  </si>
  <si>
    <t>重傷値</t>
    <rPh sb="0" eb="2">
      <t>ジュウショウ</t>
    </rPh>
    <rPh sb="2" eb="3">
      <t>チ</t>
    </rPh>
    <phoneticPr fontId="1"/>
  </si>
  <si>
    <t>回復力</t>
    <rPh sb="0" eb="3">
      <t>カイフクリョク</t>
    </rPh>
    <phoneticPr fontId="1"/>
  </si>
  <si>
    <t>使用者</t>
    <rPh sb="0" eb="3">
      <t>シヨウシャ</t>
    </rPh>
    <phoneticPr fontId="1"/>
  </si>
  <si>
    <t>精霊</t>
    <rPh sb="0" eb="2">
      <t>セイレイ</t>
    </rPh>
    <phoneticPr fontId="1"/>
  </si>
  <si>
    <t>武器</t>
    <rPh sb="0" eb="2">
      <t>ブキ</t>
    </rPh>
    <phoneticPr fontId="1"/>
  </si>
  <si>
    <t>近接or遠隔</t>
    <rPh sb="0" eb="2">
      <t>キンセツ</t>
    </rPh>
    <rPh sb="4" eb="6">
      <t>エンカク</t>
    </rPh>
    <phoneticPr fontId="1"/>
  </si>
  <si>
    <t>近接基礎攻撃</t>
    <rPh sb="0" eb="2">
      <t>キンセツ</t>
    </rPh>
    <rPh sb="2" eb="4">
      <t>キソ</t>
    </rPh>
    <rPh sb="4" eb="6">
      <t>コウゲキ</t>
    </rPh>
    <phoneticPr fontId="1"/>
  </si>
  <si>
    <t>(１[Ｗ]＋【筋力】)ダメージ</t>
    <phoneticPr fontId="1"/>
  </si>
  <si>
    <t>【筋力】対"ＡC"</t>
    <rPh sb="1" eb="3">
      <t>キンリョク</t>
    </rPh>
    <rPh sb="4" eb="5">
      <t>タイ</t>
    </rPh>
    <phoneticPr fontId="1"/>
  </si>
  <si>
    <t>突撃</t>
    <rPh sb="0" eb="2">
      <t>トツゲキ</t>
    </rPh>
    <phoneticPr fontId="1"/>
  </si>
  <si>
    <t>HP初期値</t>
    <rPh sb="2" eb="5">
      <t>ショキチ</t>
    </rPh>
    <phoneticPr fontId="1"/>
  </si>
  <si>
    <t>HP上昇</t>
    <rPh sb="2" eb="4">
      <t>ジョウショウ</t>
    </rPh>
    <phoneticPr fontId="1"/>
  </si>
  <si>
    <t>回数初期値</t>
    <rPh sb="0" eb="2">
      <t>カイスウ</t>
    </rPh>
    <rPh sb="2" eb="5">
      <t>ショキチ</t>
    </rPh>
    <phoneticPr fontId="1"/>
  </si>
  <si>
    <t>ＨＰ修正</t>
    <rPh sb="2" eb="4">
      <t>シュウセイ</t>
    </rPh>
    <phoneticPr fontId="1"/>
  </si>
  <si>
    <t>回数修正</t>
    <rPh sb="0" eb="2">
      <t>カイスウ</t>
    </rPh>
    <rPh sb="2" eb="4">
      <t>シュウセイ</t>
    </rPh>
    <phoneticPr fontId="1"/>
  </si>
  <si>
    <t>回復回数</t>
    <rPh sb="0" eb="2">
      <t>カイフク</t>
    </rPh>
    <rPh sb="2" eb="4">
      <t>カイスウ</t>
    </rPh>
    <phoneticPr fontId="1"/>
  </si>
  <si>
    <t>機会攻撃</t>
    <rPh sb="0" eb="2">
      <t>キカイ</t>
    </rPh>
    <rPh sb="2" eb="4">
      <t>コウゲキ</t>
    </rPh>
    <phoneticPr fontId="1"/>
  </si>
  <si>
    <t>ｄ</t>
    <phoneticPr fontId="1"/>
  </si>
  <si>
    <t>遭遇毎</t>
    <rPh sb="0" eb="2">
      <t>ソウグウ</t>
    </rPh>
    <rPh sb="2" eb="3">
      <t>ゴト</t>
    </rPh>
    <phoneticPr fontId="1"/>
  </si>
  <si>
    <t>パワー</t>
  </si>
  <si>
    <t>基本</t>
    <rPh sb="0" eb="2">
      <t>キホン</t>
    </rPh>
    <phoneticPr fontId="1"/>
  </si>
  <si>
    <t>Lv</t>
  </si>
  <si>
    <t>ＡＣ</t>
  </si>
  <si>
    <t>目標</t>
    <rPh sb="0" eb="2">
      <t>モクヒョウ</t>
    </rPh>
    <phoneticPr fontId="1"/>
  </si>
  <si>
    <t>キーワード</t>
    <phoneticPr fontId="1"/>
  </si>
  <si>
    <t>アクション</t>
    <phoneticPr fontId="1"/>
  </si>
  <si>
    <t>Lv</t>
    <phoneticPr fontId="1"/>
  </si>
  <si>
    <t>一日毎</t>
    <rPh sb="0" eb="2">
      <t>イチニチ</t>
    </rPh>
    <rPh sb="2" eb="3">
      <t>マイ</t>
    </rPh>
    <phoneticPr fontId="1"/>
  </si>
  <si>
    <t>キーワード</t>
    <phoneticPr fontId="1"/>
  </si>
  <si>
    <t>アクション</t>
    <phoneticPr fontId="1"/>
  </si>
  <si>
    <t>ヒット</t>
    <phoneticPr fontId="1"/>
  </si>
  <si>
    <t>一日毎</t>
    <rPh sb="0" eb="2">
      <t>イチニチ</t>
    </rPh>
    <rPh sb="2" eb="3">
      <t>ゴト</t>
    </rPh>
    <phoneticPr fontId="1"/>
  </si>
  <si>
    <t>トリガー</t>
    <phoneticPr fontId="1"/>
  </si>
  <si>
    <t>マイナー・アクション</t>
    <phoneticPr fontId="1"/>
  </si>
  <si>
    <t>Lv</t>
    <phoneticPr fontId="1"/>
  </si>
  <si>
    <t>心衣用アーデント能力値</t>
    <rPh sb="0" eb="1">
      <t>ココロ</t>
    </rPh>
    <rPh sb="1" eb="2">
      <t>コロモ</t>
    </rPh>
    <rPh sb="2" eb="3">
      <t>ヨウ</t>
    </rPh>
    <rPh sb="8" eb="10">
      <t>ノウリョク</t>
    </rPh>
    <rPh sb="10" eb="11">
      <t>チ</t>
    </rPh>
    <phoneticPr fontId="1"/>
  </si>
  <si>
    <t>単純</t>
    <rPh sb="0" eb="2">
      <t>タンジュン</t>
    </rPh>
    <phoneticPr fontId="1"/>
  </si>
  <si>
    <t>　　君は遭遇開始後、最初の自分のＴの間、すべての敵に対して戦術的優位を得る。</t>
    <rPh sb="2" eb="3">
      <t>キミ</t>
    </rPh>
    <rPh sb="4" eb="6">
      <t>ソウグウ</t>
    </rPh>
    <rPh sb="6" eb="8">
      <t>カイシ</t>
    </rPh>
    <rPh sb="8" eb="9">
      <t>ゴ</t>
    </rPh>
    <rPh sb="10" eb="12">
      <t>サイショ</t>
    </rPh>
    <rPh sb="13" eb="15">
      <t>ジブン</t>
    </rPh>
    <rPh sb="18" eb="19">
      <t>アイダ</t>
    </rPh>
    <rPh sb="24" eb="25">
      <t>テキ</t>
    </rPh>
    <rPh sb="26" eb="27">
      <t>タイ</t>
    </rPh>
    <rPh sb="29" eb="32">
      <t>センジュツテキ</t>
    </rPh>
    <rPh sb="32" eb="34">
      <t>ユウイ</t>
    </rPh>
    <rPh sb="35" eb="36">
      <t>エ</t>
    </rPh>
    <phoneticPr fontId="1"/>
  </si>
  <si>
    <t>種族パワー</t>
    <rPh sb="0" eb="2">
      <t>シュゾク</t>
    </rPh>
    <phoneticPr fontId="1"/>
  </si>
  <si>
    <t>トリガー</t>
    <phoneticPr fontId="1"/>
  </si>
  <si>
    <t>[遭遇毎]</t>
    <phoneticPr fontId="1"/>
  </si>
  <si>
    <t>テーマパワー</t>
    <phoneticPr fontId="1"/>
  </si>
  <si>
    <t>スミス</t>
    <phoneticPr fontId="1"/>
  </si>
  <si>
    <t>上級装具（正確性）</t>
    <phoneticPr fontId="1"/>
  </si>
  <si>
    <t>[一日毎]◆[信仰]</t>
    <rPh sb="1" eb="3">
      <t>イチニチ</t>
    </rPh>
    <rPh sb="3" eb="4">
      <t>ゴト</t>
    </rPh>
    <phoneticPr fontId="1"/>
  </si>
  <si>
    <t>[遭遇毎]◆[信仰]</t>
    <rPh sb="1" eb="3">
      <t>ソウグウ</t>
    </rPh>
    <rPh sb="3" eb="4">
      <t>マイ</t>
    </rPh>
    <phoneticPr fontId="1"/>
  </si>
  <si>
    <t>判断力</t>
    <phoneticPr fontId="1"/>
  </si>
  <si>
    <t>判断力</t>
    <phoneticPr fontId="1"/>
  </si>
  <si>
    <t>【判断力】対"頑健"</t>
    <rPh sb="5" eb="6">
      <t>タイ</t>
    </rPh>
    <rPh sb="7" eb="9">
      <t>ガンケン</t>
    </rPh>
    <phoneticPr fontId="1"/>
  </si>
  <si>
    <t>[遭遇毎]◆［信仰］［装具］[雷鳴]</t>
    <rPh sb="1" eb="3">
      <t>ソウグウ</t>
    </rPh>
    <rPh sb="3" eb="4">
      <t>マイ</t>
    </rPh>
    <rPh sb="15" eb="17">
      <t>ライメイ</t>
    </rPh>
    <phoneticPr fontId="1"/>
  </si>
  <si>
    <t>【判断力】対"反応"</t>
    <rPh sb="1" eb="4">
      <t>ハンダンリョク</t>
    </rPh>
    <rPh sb="5" eb="6">
      <t>タイ</t>
    </rPh>
    <rPh sb="7" eb="9">
      <t>ハンノウ</t>
    </rPh>
    <phoneticPr fontId="1"/>
  </si>
  <si>
    <t>クリーチャー１，２または３体</t>
    <rPh sb="13" eb="14">
      <t>タイ</t>
    </rPh>
    <phoneticPr fontId="1"/>
  </si>
  <si>
    <t>(１ｄ４＋【判断力】)の[光輝]ダメージ</t>
    <rPh sb="6" eb="9">
      <t>ハンダンリョク</t>
    </rPh>
    <rPh sb="13" eb="15">
      <t>コウキ</t>
    </rPh>
    <phoneticPr fontId="1"/>
  </si>
  <si>
    <t>Lv21：目標としてさらにもう１体のクリーチャーを追加する。</t>
    <phoneticPr fontId="1"/>
  </si>
  <si>
    <t>※《無双の反応》(墜256)</t>
    <rPh sb="9" eb="10">
      <t>オ</t>
    </rPh>
    <phoneticPr fontId="1"/>
  </si>
  <si>
    <t>※シェア・ショット・グラヴズ(宝135)</t>
    <rPh sb="15" eb="16">
      <t>タカラ</t>
    </rPh>
    <phoneticPr fontId="1"/>
  </si>
  <si>
    <t>※《スタッフ練達》(墜252)</t>
    <rPh sb="6" eb="8">
      <t>レンタツ</t>
    </rPh>
    <rPh sb="10" eb="11">
      <t>オ</t>
    </rPh>
    <phoneticPr fontId="1"/>
  </si>
  <si>
    <t>　　君スタッフを用いて近接[武器]攻撃を行う際、その攻撃においてその武器の間合いは１マス増加する。</t>
    <rPh sb="2" eb="3">
      <t>キミ</t>
    </rPh>
    <rPh sb="8" eb="9">
      <t>モチ</t>
    </rPh>
    <rPh sb="11" eb="13">
      <t>キンセツ</t>
    </rPh>
    <rPh sb="14" eb="16">
      <t>ブキ</t>
    </rPh>
    <rPh sb="17" eb="19">
      <t>コウゲキ</t>
    </rPh>
    <rPh sb="20" eb="21">
      <t>オコナ</t>
    </rPh>
    <rPh sb="22" eb="23">
      <t>サイ</t>
    </rPh>
    <rPh sb="26" eb="28">
      <t>コウゲキ</t>
    </rPh>
    <rPh sb="34" eb="36">
      <t>ブキ</t>
    </rPh>
    <rPh sb="37" eb="39">
      <t>マア</t>
    </rPh>
    <rPh sb="44" eb="46">
      <t>ゾウカ</t>
    </rPh>
    <phoneticPr fontId="1"/>
  </si>
  <si>
    <t>　　それを行う事を理由にした機会攻撃を誘発しない。</t>
    <rPh sb="5" eb="6">
      <t>オコナ</t>
    </rPh>
    <rPh sb="7" eb="8">
      <t>コト</t>
    </rPh>
    <rPh sb="9" eb="11">
      <t>リユウ</t>
    </rPh>
    <rPh sb="14" eb="16">
      <t>キカイ</t>
    </rPh>
    <rPh sb="16" eb="18">
      <t>コウゲキ</t>
    </rPh>
    <rPh sb="19" eb="21">
      <t>ユウハツ</t>
    </rPh>
    <phoneticPr fontId="1"/>
  </si>
  <si>
    <t>サンダー・オヴ・ジャッジメント</t>
    <phoneticPr fontId="1"/>
  </si>
  <si>
    <t>インヴォーカー/攻撃/１　(PHⅡ51)</t>
    <rPh sb="8" eb="10">
      <t>コウゲキ</t>
    </rPh>
    <phoneticPr fontId="1"/>
  </si>
  <si>
    <t>クリーチャー１，２または３体</t>
    <phoneticPr fontId="1"/>
  </si>
  <si>
    <t>目標
1体のみ</t>
    <rPh sb="0" eb="2">
      <t>モクヒョウ</t>
    </rPh>
    <rPh sb="4" eb="5">
      <t>タイ</t>
    </rPh>
    <phoneticPr fontId="1"/>
  </si>
  <si>
    <t>(１ｄ６＋【判断力】)の[雷鳴]ダメージ</t>
    <rPh sb="13" eb="15">
      <t>ライメイ</t>
    </rPh>
    <phoneticPr fontId="1"/>
  </si>
  <si>
    <t>または目標が１体だけなら(２ｄ６＋【判断力】)の[雷鳴]ダメージ</t>
    <rPh sb="3" eb="5">
      <t>モクヒョウ</t>
    </rPh>
    <rPh sb="7" eb="8">
      <t>タイ</t>
    </rPh>
    <phoneticPr fontId="1"/>
  </si>
  <si>
    <t>さらに目標は使用者の次T終まで幻惑状態になる。</t>
    <rPh sb="3" eb="5">
      <t>モクヒョウ</t>
    </rPh>
    <rPh sb="6" eb="9">
      <t>シヨウシャ</t>
    </rPh>
    <rPh sb="10" eb="11">
      <t>ジ</t>
    </rPh>
    <rPh sb="12" eb="13">
      <t>シュウ</t>
    </rPh>
    <rPh sb="15" eb="17">
      <t>ゲンワク</t>
    </rPh>
    <rPh sb="17" eb="19">
      <t>ジョウタイ</t>
    </rPh>
    <phoneticPr fontId="1"/>
  </si>
  <si>
    <t>　　君が自分のTに遭遇毎または一日毎の[信仰]の攻撃パワーを使用した時、</t>
    <rPh sb="2" eb="3">
      <t>キミ</t>
    </rPh>
    <rPh sb="4" eb="6">
      <t>ジブン</t>
    </rPh>
    <rPh sb="9" eb="11">
      <t>ソウグウ</t>
    </rPh>
    <rPh sb="11" eb="12">
      <t>ゴト</t>
    </rPh>
    <rPh sb="15" eb="17">
      <t>イチニチ</t>
    </rPh>
    <rPh sb="17" eb="18">
      <t>ゴト</t>
    </rPh>
    <rPh sb="20" eb="22">
      <t>シンコウ</t>
    </rPh>
    <rPh sb="24" eb="26">
      <t>コウゲキ</t>
    </rPh>
    <rPh sb="30" eb="32">
      <t>シヨウ</t>
    </rPh>
    <rPh sb="34" eb="35">
      <t>トキ</t>
    </rPh>
    <phoneticPr fontId="1"/>
  </si>
  <si>
    <t>　　君から１０マス以内にいる味方１人を１マス横滑りさせる事ができる。</t>
    <rPh sb="2" eb="3">
      <t>キミ</t>
    </rPh>
    <rPh sb="9" eb="11">
      <t>イナイ</t>
    </rPh>
    <rPh sb="14" eb="16">
      <t>ミカタ</t>
    </rPh>
    <rPh sb="16" eb="18">
      <t>ヒトリ</t>
    </rPh>
    <rPh sb="22" eb="24">
      <t>ヨコスベ</t>
    </rPh>
    <rPh sb="28" eb="29">
      <t>コト</t>
    </rPh>
    <phoneticPr fontId="1"/>
  </si>
  <si>
    <t>[遭遇毎]◆[光輝]［信仰］［装具］</t>
    <rPh sb="1" eb="3">
      <t>ソウグウ</t>
    </rPh>
    <rPh sb="3" eb="4">
      <t>マイ</t>
    </rPh>
    <rPh sb="7" eb="9">
      <t>コウキ</t>
    </rPh>
    <phoneticPr fontId="1"/>
  </si>
  <si>
    <t>(１ｄ１０＋【判断力】)の[光輝]ダメージ</t>
    <rPh sb="14" eb="16">
      <t>コウキ</t>
    </rPh>
    <phoneticPr fontId="1"/>
  </si>
  <si>
    <t>爆発の範囲内に重傷の味方がいるなら、</t>
    <rPh sb="0" eb="2">
      <t>バクハツ</t>
    </rPh>
    <rPh sb="3" eb="6">
      <t>ハンイナイ</t>
    </rPh>
    <rPh sb="7" eb="9">
      <t>ジュウショウ</t>
    </rPh>
    <rPh sb="10" eb="12">
      <t>ミカタ</t>
    </rPh>
    <phoneticPr fontId="1"/>
  </si>
  <si>
    <t>　　君が作りだした創造物および君が召喚したクリーチャーに隣接している敵は皆、</t>
    <rPh sb="2" eb="3">
      <t>キミ</t>
    </rPh>
    <rPh sb="4" eb="5">
      <t>ツク</t>
    </rPh>
    <rPh sb="9" eb="11">
      <t>ソウゾウ</t>
    </rPh>
    <rPh sb="11" eb="12">
      <t>ブツ</t>
    </rPh>
    <rPh sb="15" eb="16">
      <t>キミ</t>
    </rPh>
    <rPh sb="17" eb="19">
      <t>ショウカン</t>
    </rPh>
    <rPh sb="28" eb="30">
      <t>リンセツ</t>
    </rPh>
    <rPh sb="34" eb="35">
      <t>テキ</t>
    </rPh>
    <rPh sb="36" eb="37">
      <t>ミナ</t>
    </rPh>
    <phoneticPr fontId="1"/>
  </si>
  <si>
    <t>　　戦術的優位を与える。[恐怖]に対する完全耐性を持つ敵はこの効果に対して完全耐性を持つ。</t>
    <rPh sb="2" eb="5">
      <t>センジュツテキ</t>
    </rPh>
    <rPh sb="5" eb="7">
      <t>ユウイ</t>
    </rPh>
    <rPh sb="8" eb="9">
      <t>アタ</t>
    </rPh>
    <rPh sb="13" eb="15">
      <t>キョウフ</t>
    </rPh>
    <rPh sb="17" eb="18">
      <t>タイ</t>
    </rPh>
    <rPh sb="20" eb="22">
      <t>カンゼン</t>
    </rPh>
    <rPh sb="22" eb="24">
      <t>タイセイ</t>
    </rPh>
    <rPh sb="25" eb="26">
      <t>モ</t>
    </rPh>
    <rPh sb="27" eb="28">
      <t>テキ</t>
    </rPh>
    <rPh sb="31" eb="33">
      <t>コウカ</t>
    </rPh>
    <rPh sb="34" eb="35">
      <t>タイ</t>
    </rPh>
    <rPh sb="37" eb="39">
      <t>カンゼン</t>
    </rPh>
    <rPh sb="39" eb="41">
      <t>タイセイ</t>
    </rPh>
    <rPh sb="42" eb="43">
      <t>モ</t>
    </rPh>
    <phoneticPr fontId="1"/>
  </si>
  <si>
    <t>※《トウム練達》(元144)</t>
    <rPh sb="5" eb="7">
      <t>レンタツ</t>
    </rPh>
    <rPh sb="9" eb="10">
      <t>ゲン</t>
    </rPh>
    <phoneticPr fontId="1"/>
  </si>
  <si>
    <t>効果</t>
    <rPh sb="0" eb="2">
      <t>コウカ</t>
    </rPh>
    <phoneticPr fontId="1"/>
  </si>
  <si>
    <t>使用者は範囲内の何ものにもしめられていない１つのマスに中型サイズの</t>
    <rPh sb="0" eb="2">
      <t>シヨウ</t>
    </rPh>
    <rPh sb="2" eb="3">
      <t>シャ</t>
    </rPh>
    <rPh sb="4" eb="7">
      <t>ハンイナイ</t>
    </rPh>
    <rPh sb="8" eb="9">
      <t>ナニ</t>
    </rPh>
    <rPh sb="27" eb="29">
      <t>チュウガタ</t>
    </rPh>
    <phoneticPr fontId="1"/>
  </si>
  <si>
    <t>使用者はこのエンジェルに以下の命令を行わせる事ができる。</t>
    <rPh sb="0" eb="2">
      <t>シヨウ</t>
    </rPh>
    <rPh sb="2" eb="3">
      <t>シャ</t>
    </rPh>
    <rPh sb="12" eb="14">
      <t>イカ</t>
    </rPh>
    <rPh sb="15" eb="17">
      <t>メイレイ</t>
    </rPh>
    <rPh sb="18" eb="19">
      <t>オコナ</t>
    </rPh>
    <rPh sb="22" eb="23">
      <t>コト</t>
    </rPh>
    <phoneticPr fontId="1"/>
  </si>
  <si>
    <t>　機会攻撃　近接・１　目標はクリーチャー１体</t>
    <rPh sb="1" eb="3">
      <t>キカイ</t>
    </rPh>
    <rPh sb="3" eb="5">
      <t>コウゲキ</t>
    </rPh>
    <rPh sb="6" eb="8">
      <t>キンセツ</t>
    </rPh>
    <rPh sb="11" eb="13">
      <t>モクヒョウ</t>
    </rPh>
    <rPh sb="21" eb="22">
      <t>タイ</t>
    </rPh>
    <phoneticPr fontId="1"/>
  </si>
  <si>
    <t>召喚獣能力値</t>
    <rPh sb="0" eb="2">
      <t>ショウカン</t>
    </rPh>
    <rPh sb="2" eb="3">
      <t>ケモノ</t>
    </rPh>
    <rPh sb="3" eb="6">
      <t>ノウリョクチ</t>
    </rPh>
    <phoneticPr fontId="26"/>
  </si>
  <si>
    <t>召喚名</t>
    <rPh sb="0" eb="2">
      <t>ショウカン</t>
    </rPh>
    <rPh sb="2" eb="3">
      <t>メイ</t>
    </rPh>
    <phoneticPr fontId="26"/>
  </si>
  <si>
    <t>HP</t>
    <phoneticPr fontId="26"/>
  </si>
  <si>
    <t>AC</t>
    <phoneticPr fontId="26"/>
  </si>
  <si>
    <t>頑健</t>
    <rPh sb="0" eb="2">
      <t>ガンケン</t>
    </rPh>
    <phoneticPr fontId="26"/>
  </si>
  <si>
    <t>反応</t>
    <rPh sb="0" eb="2">
      <t>ハンノウ</t>
    </rPh>
    <phoneticPr fontId="26"/>
  </si>
  <si>
    <t>意志</t>
    <rPh sb="0" eb="2">
      <t>イシ</t>
    </rPh>
    <phoneticPr fontId="26"/>
  </si>
  <si>
    <t>HP</t>
    <phoneticPr fontId="26"/>
  </si>
  <si>
    <t>命中ロール＆ダメージ表</t>
    <rPh sb="0" eb="2">
      <t>メイチュウ</t>
    </rPh>
    <rPh sb="10" eb="11">
      <t>ヒョウ</t>
    </rPh>
    <phoneticPr fontId="26"/>
  </si>
  <si>
    <t>通常</t>
    <rPh sb="0" eb="2">
      <t>ツウジョウ</t>
    </rPh>
    <phoneticPr fontId="26"/>
  </si>
  <si>
    <t>基本</t>
    <rPh sb="0" eb="2">
      <t>キホン</t>
    </rPh>
    <phoneticPr fontId="26"/>
  </si>
  <si>
    <t>ダメージ</t>
    <phoneticPr fontId="26"/>
  </si>
  <si>
    <t>クラス特徴</t>
    <rPh sb="3" eb="5">
      <t>トクチョウ</t>
    </rPh>
    <phoneticPr fontId="1"/>
  </si>
  <si>
    <t>インヴォーカー/クラス特徴/　(PHⅡ50)</t>
    <rPh sb="11" eb="13">
      <t>トクチョウ</t>
    </rPh>
    <phoneticPr fontId="1"/>
  </si>
  <si>
    <t>【判断力】対"意志"</t>
    <rPh sb="5" eb="6">
      <t>タイ</t>
    </rPh>
    <rPh sb="7" eb="9">
      <t>イシ</t>
    </rPh>
    <phoneticPr fontId="1"/>
  </si>
  <si>
    <t>使用者は目標を２マス押しやる。</t>
    <rPh sb="0" eb="2">
      <t>シヨウ</t>
    </rPh>
    <rPh sb="2" eb="3">
      <t>シャ</t>
    </rPh>
    <rPh sb="4" eb="6">
      <t>モクヒョウ</t>
    </rPh>
    <rPh sb="10" eb="11">
      <t>オ</t>
    </rPh>
    <phoneticPr fontId="1"/>
  </si>
  <si>
    <t>目標は使用者の次T終まで幻惑状態となる。</t>
    <rPh sb="0" eb="2">
      <t>モクヒョウ</t>
    </rPh>
    <rPh sb="3" eb="6">
      <t>シヨウシャ</t>
    </rPh>
    <rPh sb="7" eb="8">
      <t>ジ</t>
    </rPh>
    <rPh sb="9" eb="10">
      <t>シュウ</t>
    </rPh>
    <rPh sb="12" eb="14">
      <t>ゲンワク</t>
    </rPh>
    <rPh sb="14" eb="16">
      <t>ジョウタイ</t>
    </rPh>
    <phoneticPr fontId="1"/>
  </si>
  <si>
    <t>CD：ブリザヴァース・リビューク</t>
    <phoneticPr fontId="1"/>
  </si>
  <si>
    <t>即応・対応</t>
    <rPh sb="0" eb="2">
      <t>ソクオウ</t>
    </rPh>
    <rPh sb="3" eb="5">
      <t>タイオウ</t>
    </rPh>
    <phoneticPr fontId="1"/>
  </si>
  <si>
    <t>使用者から１０マス以内にいる敵が使用者の味方にヒットを与えた</t>
    <rPh sb="0" eb="2">
      <t>シヨウ</t>
    </rPh>
    <rPh sb="2" eb="3">
      <t>シャ</t>
    </rPh>
    <rPh sb="9" eb="11">
      <t>イナイ</t>
    </rPh>
    <rPh sb="14" eb="15">
      <t>テキ</t>
    </rPh>
    <rPh sb="16" eb="19">
      <t>シヨウシャ</t>
    </rPh>
    <rPh sb="20" eb="22">
      <t>ミカタ</t>
    </rPh>
    <rPh sb="27" eb="28">
      <t>アタ</t>
    </rPh>
    <phoneticPr fontId="1"/>
  </si>
  <si>
    <t>使用者の次T終まで使用者はトリガーの発生させた敵に対する</t>
    <rPh sb="0" eb="2">
      <t>シヨウ</t>
    </rPh>
    <rPh sb="2" eb="3">
      <t>シャ</t>
    </rPh>
    <rPh sb="4" eb="5">
      <t>ジ</t>
    </rPh>
    <rPh sb="6" eb="7">
      <t>シュウ</t>
    </rPh>
    <rPh sb="9" eb="12">
      <t>シヨウシャ</t>
    </rPh>
    <rPh sb="18" eb="20">
      <t>ハッセイ</t>
    </rPh>
    <rPh sb="23" eb="24">
      <t>テキ</t>
    </rPh>
    <rPh sb="25" eb="26">
      <t>タイ</t>
    </rPh>
    <phoneticPr fontId="1"/>
  </si>
  <si>
    <t>次の１回の攻撃Rに使用者の【知】に等しいボーナスを得る。</t>
    <rPh sb="0" eb="1">
      <t>ツギ</t>
    </rPh>
    <rPh sb="3" eb="4">
      <t>カイ</t>
    </rPh>
    <rPh sb="5" eb="7">
      <t>コウゲキ</t>
    </rPh>
    <rPh sb="9" eb="11">
      <t>シヨウ</t>
    </rPh>
    <rPh sb="11" eb="12">
      <t>シャ</t>
    </rPh>
    <rPh sb="14" eb="15">
      <t>チ</t>
    </rPh>
    <rPh sb="17" eb="18">
      <t>ヒト</t>
    </rPh>
    <rPh sb="25" eb="26">
      <t>エ</t>
    </rPh>
    <phoneticPr fontId="1"/>
  </si>
  <si>
    <t>メモリー・オヴ・ア・サウザンド・ライフタイムズ</t>
    <phoneticPr fontId="1"/>
  </si>
  <si>
    <t>デーヴァ/種族パワー　(PHⅡ12)</t>
    <rPh sb="5" eb="7">
      <t>シュゾク</t>
    </rPh>
    <phoneticPr fontId="1"/>
  </si>
  <si>
    <t>アクションではない</t>
    <phoneticPr fontId="1"/>
  </si>
  <si>
    <t>しかもその結果が気に入らない</t>
    <rPh sb="5" eb="7">
      <t>ケッカ</t>
    </rPh>
    <rPh sb="8" eb="9">
      <t>キ</t>
    </rPh>
    <rPh sb="10" eb="11">
      <t>イ</t>
    </rPh>
    <phoneticPr fontId="1"/>
  </si>
  <si>
    <t>使用者はトリガーとなった１つのロールに１ｄ６を加える。</t>
    <rPh sb="0" eb="2">
      <t>シヨウ</t>
    </rPh>
    <rPh sb="2" eb="3">
      <t>シャ</t>
    </rPh>
    <rPh sb="23" eb="24">
      <t>クワ</t>
    </rPh>
    <phoneticPr fontId="1"/>
  </si>
  <si>
    <t>インヴォーカー/汎用/２　(PHⅡ52)</t>
    <rPh sb="8" eb="10">
      <t>ハンヨウ</t>
    </rPh>
    <phoneticPr fontId="1"/>
  </si>
  <si>
    <t>インヴォーカー/汎用/６　(PHⅡ54)</t>
    <rPh sb="8" eb="10">
      <t>ハンヨウ</t>
    </rPh>
    <phoneticPr fontId="1"/>
  </si>
  <si>
    <t>使用者はそれぞれの目標を３マスづつ引き寄せる。</t>
    <rPh sb="0" eb="2">
      <t>シヨウ</t>
    </rPh>
    <rPh sb="2" eb="3">
      <t>シャ</t>
    </rPh>
    <rPh sb="9" eb="11">
      <t>モクヒョウ</t>
    </rPh>
    <rPh sb="17" eb="18">
      <t>ヒ</t>
    </rPh>
    <rPh sb="19" eb="20">
      <t>ヨ</t>
    </rPh>
    <phoneticPr fontId="1"/>
  </si>
  <si>
    <t>移動アクション</t>
    <rPh sb="0" eb="2">
      <t>イドウ</t>
    </rPh>
    <phoneticPr fontId="1"/>
  </si>
  <si>
    <t>使用者および範囲内の味方すべて</t>
    <rPh sb="0" eb="2">
      <t>シヨウ</t>
    </rPh>
    <rPh sb="2" eb="3">
      <t>シャ</t>
    </rPh>
    <rPh sb="6" eb="9">
      <t>ハンイナイ</t>
    </rPh>
    <rPh sb="10" eb="12">
      <t>ミカタ</t>
    </rPh>
    <phoneticPr fontId="1"/>
  </si>
  <si>
    <t>（３＋【知】）になる。</t>
    <rPh sb="4" eb="5">
      <t>チ</t>
    </rPh>
    <phoneticPr fontId="1"/>
  </si>
  <si>
    <t>サモン・フレイム・ゼファー</t>
    <phoneticPr fontId="1"/>
  </si>
  <si>
    <t>モートボーン/攻撃/　(元58)</t>
    <rPh sb="7" eb="9">
      <t>コウゲキ</t>
    </rPh>
    <rPh sb="12" eb="13">
      <t>モト</t>
    </rPh>
    <phoneticPr fontId="1"/>
  </si>
  <si>
    <t>[一日毎]◆［元素］［召喚］</t>
    <rPh sb="7" eb="9">
      <t>ゲンソ</t>
    </rPh>
    <rPh sb="11" eb="13">
      <t>ショウカン</t>
    </rPh>
    <phoneticPr fontId="1"/>
  </si>
  <si>
    <t>Ｌｖ</t>
    <phoneticPr fontId="1"/>
  </si>
  <si>
    <t>フレイム・ゼファー</t>
    <phoneticPr fontId="26"/>
  </si>
  <si>
    <t>　　</t>
    <phoneticPr fontId="1"/>
  </si>
  <si>
    <t>ｱｲﾃﾑ</t>
    <phoneticPr fontId="1"/>
  </si>
  <si>
    <t>[一日毎]</t>
    <phoneticPr fontId="1"/>
  </si>
  <si>
    <t>使用者はこの瓶から一滴の闇をこぼすことによって、１対の影のクリーチャーを作り出す。</t>
    <rPh sb="0" eb="2">
      <t>シヨウ</t>
    </rPh>
    <rPh sb="2" eb="3">
      <t>シャ</t>
    </rPh>
    <rPh sb="6" eb="7">
      <t>ビン</t>
    </rPh>
    <rPh sb="9" eb="11">
      <t>イッテキ</t>
    </rPh>
    <rPh sb="12" eb="13">
      <t>ヤミ</t>
    </rPh>
    <rPh sb="25" eb="26">
      <t>タイ</t>
    </rPh>
    <rPh sb="27" eb="28">
      <t>カゲ</t>
    </rPh>
    <rPh sb="36" eb="37">
      <t>ツク</t>
    </rPh>
    <rPh sb="38" eb="39">
      <t>ダ</t>
    </rPh>
    <phoneticPr fontId="1"/>
  </si>
  <si>
    <t>このクリーチャーは使用者の口頭の命令に従い、使用者および使用者の味方にとって</t>
    <rPh sb="9" eb="12">
      <t>シヨウシャ</t>
    </rPh>
    <rPh sb="13" eb="15">
      <t>コウトウ</t>
    </rPh>
    <rPh sb="16" eb="18">
      <t>メイレイ</t>
    </rPh>
    <rPh sb="19" eb="20">
      <t>シタガ</t>
    </rPh>
    <rPh sb="22" eb="25">
      <t>シヨウシャ</t>
    </rPh>
    <rPh sb="28" eb="31">
      <t>シヨウシャ</t>
    </rPh>
    <rPh sb="32" eb="34">
      <t>ミカタ</t>
    </rPh>
    <phoneticPr fontId="1"/>
  </si>
  <si>
    <t>味方であるものとみなされる。このクリーチャーは使用者に隣接する場所に現れ、</t>
    <rPh sb="0" eb="2">
      <t>ミカタ</t>
    </rPh>
    <rPh sb="23" eb="26">
      <t>シヨウシャ</t>
    </rPh>
    <rPh sb="27" eb="29">
      <t>リンセツ</t>
    </rPh>
    <rPh sb="31" eb="33">
      <t>バショ</t>
    </rPh>
    <rPh sb="34" eb="35">
      <t>アラワ</t>
    </rPh>
    <phoneticPr fontId="1"/>
  </si>
  <si>
    <t>使用者からの命令が無い場合は何もアクションを行わない。</t>
    <rPh sb="0" eb="2">
      <t>シヨウ</t>
    </rPh>
    <rPh sb="2" eb="3">
      <t>シャ</t>
    </rPh>
    <rPh sb="6" eb="8">
      <t>メイレイ</t>
    </rPh>
    <rPh sb="9" eb="10">
      <t>ナ</t>
    </rPh>
    <rPh sb="11" eb="13">
      <t>バアイ</t>
    </rPh>
    <rPh sb="14" eb="15">
      <t>ナニ</t>
    </rPh>
    <rPh sb="22" eb="23">
      <t>オコナ</t>
    </rPh>
    <phoneticPr fontId="1"/>
  </si>
  <si>
    <t>1（雑魚）</t>
    <rPh sb="2" eb="4">
      <t>ザコ</t>
    </rPh>
    <phoneticPr fontId="1"/>
  </si>
  <si>
    <t>このクリーチャーはこの遭遇の終了時に消え失せる。</t>
    <rPh sb="11" eb="13">
      <t>ソウグウ</t>
    </rPh>
    <rPh sb="14" eb="17">
      <t>シュウリョウジ</t>
    </rPh>
    <rPh sb="18" eb="19">
      <t>キ</t>
    </rPh>
    <rPh sb="20" eb="21">
      <t>ウ</t>
    </rPh>
    <phoneticPr fontId="1"/>
  </si>
  <si>
    <t>曖昧なる群のシャドウ</t>
    <rPh sb="0" eb="2">
      <t>アイマイ</t>
    </rPh>
    <rPh sb="4" eb="5">
      <t>ムレ</t>
    </rPh>
    <phoneticPr fontId="26"/>
  </si>
  <si>
    <t>曖昧なる群のシャドウ　Ｌｖ10　雑魚　遊撃役</t>
    <rPh sb="0" eb="2">
      <t>アイマイ</t>
    </rPh>
    <rPh sb="4" eb="5">
      <t>ムレ</t>
    </rPh>
    <rPh sb="16" eb="18">
      <t>ザコ</t>
    </rPh>
    <rPh sb="19" eb="21">
      <t>ユウゲキ</t>
    </rPh>
    <rPh sb="21" eb="22">
      <t>ヤク</t>
    </rPh>
    <phoneticPr fontId="1"/>
  </si>
  <si>
    <t>中型・シャドウ・自律体　　　　イニシアチブ：＋１１</t>
    <rPh sb="0" eb="2">
      <t>チュウガタ</t>
    </rPh>
    <rPh sb="8" eb="10">
      <t>ジリツ</t>
    </rPh>
    <rPh sb="10" eb="11">
      <t>タイ</t>
    </rPh>
    <phoneticPr fontId="1"/>
  </si>
  <si>
    <t>移動速度：８　　　　　&lt;知覚&gt;＋5　　　暗視</t>
    <rPh sb="0" eb="2">
      <t>イドウ</t>
    </rPh>
    <rPh sb="2" eb="4">
      <t>ソクド</t>
    </rPh>
    <rPh sb="12" eb="14">
      <t>チカク</t>
    </rPh>
    <rPh sb="20" eb="22">
      <t>アンシ</t>
    </rPh>
    <phoneticPr fontId="1"/>
  </si>
  <si>
    <t>　攻撃：近接・１(クリーチャー１体)；+13ｖｓ反応</t>
    <rPh sb="1" eb="3">
      <t>コウゲキ</t>
    </rPh>
    <rPh sb="4" eb="6">
      <t>キンセツ</t>
    </rPh>
    <rPh sb="16" eb="17">
      <t>タイ</t>
    </rPh>
    <rPh sb="24" eb="26">
      <t>ハンノウ</t>
    </rPh>
    <phoneticPr fontId="1"/>
  </si>
  <si>
    <t>　ヒット：９[死霊]ダメージ</t>
    <rPh sb="7" eb="9">
      <t>シリョウ</t>
    </rPh>
    <phoneticPr fontId="1"/>
  </si>
  <si>
    <t>　必要条件：このシャドウはクリーチャーに隣接していなければならない</t>
    <rPh sb="1" eb="3">
      <t>ヒツヨウ</t>
    </rPh>
    <rPh sb="3" eb="5">
      <t>ジョウケン</t>
    </rPh>
    <rPh sb="20" eb="22">
      <t>リンセツ</t>
    </rPh>
    <phoneticPr fontId="1"/>
  </si>
  <si>
    <t>　効果：このシャドウは自分から６マス以内のクリーチャーに隣接するマスまで瞬間移動する。</t>
    <rPh sb="1" eb="3">
      <t>コウカ</t>
    </rPh>
    <rPh sb="11" eb="13">
      <t>ジブン</t>
    </rPh>
    <rPh sb="18" eb="20">
      <t>イナイ</t>
    </rPh>
    <rPh sb="28" eb="30">
      <t>リンセツ</t>
    </rPh>
    <rPh sb="36" eb="38">
      <t>シュンカン</t>
    </rPh>
    <rPh sb="38" eb="40">
      <t>イドウ</t>
    </rPh>
    <phoneticPr fontId="1"/>
  </si>
  <si>
    <t>　トリガー：このシャドウのＨＰが０になった</t>
    <phoneticPr fontId="1"/>
  </si>
  <si>
    <t>　効果：このシャドウは破壊され、このシャドウに隣接するすべてのクリーチャーは</t>
    <rPh sb="1" eb="3">
      <t>コウカ</t>
    </rPh>
    <rPh sb="11" eb="13">
      <t>ハカイ</t>
    </rPh>
    <rPh sb="23" eb="25">
      <t>リンセツ</t>
    </rPh>
    <phoneticPr fontId="1"/>
  </si>
  <si>
    <t>　　　　　９[死霊]ダメージを受ける</t>
    <rPh sb="15" eb="16">
      <t>ウ</t>
    </rPh>
    <phoneticPr fontId="1"/>
  </si>
  <si>
    <t>標準アクション：シャドウ・グラスプ/闇の手[死霊」◆無限回</t>
    <rPh sb="18" eb="19">
      <t>ヤミ</t>
    </rPh>
    <rPh sb="20" eb="21">
      <t>テ</t>
    </rPh>
    <rPh sb="22" eb="24">
      <t>シリョウ</t>
    </rPh>
    <rPh sb="26" eb="28">
      <t>ムゲン</t>
    </rPh>
    <rPh sb="28" eb="29">
      <t>カイ</t>
    </rPh>
    <phoneticPr fontId="1"/>
  </si>
  <si>
    <t>移動アクション：シャドウ・ジョーント/飛影[瞬間移動]◆無限回</t>
    <rPh sb="0" eb="2">
      <t>イドウ</t>
    </rPh>
    <rPh sb="19" eb="21">
      <t>ヒエイ</t>
    </rPh>
    <rPh sb="22" eb="24">
      <t>シュンカン</t>
    </rPh>
    <rPh sb="24" eb="26">
      <t>イドウ</t>
    </rPh>
    <rPh sb="28" eb="30">
      <t>ムゲン</t>
    </rPh>
    <rPh sb="30" eb="31">
      <t>カイ</t>
    </rPh>
    <phoneticPr fontId="1"/>
  </si>
  <si>
    <t>トリガーアクション：デス・バースト/断末魔の爆発[死霊]◆遭遇毎</t>
    <rPh sb="18" eb="21">
      <t>ダンマツマ</t>
    </rPh>
    <rPh sb="22" eb="24">
      <t>バクハツ</t>
    </rPh>
    <rPh sb="25" eb="27">
      <t>シリョウ</t>
    </rPh>
    <rPh sb="29" eb="31">
      <t>ソウグウ</t>
    </rPh>
    <rPh sb="31" eb="32">
      <t>ゴト</t>
    </rPh>
    <phoneticPr fontId="1"/>
  </si>
  <si>
    <t>　【筋】10（+5）　【敏】18（+19）　【判】10（+5）</t>
    <rPh sb="2" eb="3">
      <t>キン</t>
    </rPh>
    <rPh sb="12" eb="13">
      <t>トシ</t>
    </rPh>
    <rPh sb="23" eb="24">
      <t>ハン</t>
    </rPh>
    <phoneticPr fontId="1"/>
  </si>
  <si>
    <t>　【耐】15（+7）　【知】3（+1）　　 【魅】7（+3）</t>
    <rPh sb="2" eb="3">
      <t>タイ</t>
    </rPh>
    <rPh sb="12" eb="13">
      <t>チ</t>
    </rPh>
    <rPh sb="23" eb="24">
      <t>ミ</t>
    </rPh>
    <phoneticPr fontId="1"/>
  </si>
  <si>
    <t>　属性：無属性　　　　　　　　　　　　言語：---</t>
    <rPh sb="1" eb="3">
      <t>ゾクセイ</t>
    </rPh>
    <rPh sb="4" eb="5">
      <t>ム</t>
    </rPh>
    <rPh sb="5" eb="7">
      <t>ゾクセイ</t>
    </rPh>
    <rPh sb="19" eb="21">
      <t>ゲンゴ</t>
    </rPh>
    <phoneticPr fontId="1"/>
  </si>
  <si>
    <t>ハンド・オヴ・フェイト</t>
    <phoneticPr fontId="1"/>
  </si>
  <si>
    <t>儀式</t>
    <rPh sb="0" eb="2">
      <t>ギシキ</t>
    </rPh>
    <phoneticPr fontId="1"/>
  </si>
  <si>
    <t>錬金術アイテム/　(ＰＨＢ311)</t>
    <rPh sb="0" eb="3">
      <t>レンキンジュツ</t>
    </rPh>
    <phoneticPr fontId="1"/>
  </si>
  <si>
    <t>系統</t>
    <rPh sb="0" eb="2">
      <t>ケイトウ</t>
    </rPh>
    <phoneticPr fontId="1"/>
  </si>
  <si>
    <t>執行時間</t>
    <rPh sb="0" eb="2">
      <t>シッコウ</t>
    </rPh>
    <rPh sb="2" eb="4">
      <t>ジカン</t>
    </rPh>
    <phoneticPr fontId="1"/>
  </si>
  <si>
    <t>持続時間</t>
    <rPh sb="0" eb="2">
      <t>ジゾク</t>
    </rPh>
    <rPh sb="2" eb="4">
      <t>ジカン</t>
    </rPh>
    <phoneticPr fontId="1"/>
  </si>
  <si>
    <t>対応技能</t>
    <rPh sb="0" eb="2">
      <t>タイオウ</t>
    </rPh>
    <rPh sb="2" eb="4">
      <t>ギノウ</t>
    </rPh>
    <phoneticPr fontId="1"/>
  </si>
  <si>
    <t>市価</t>
    <rPh sb="0" eb="2">
      <t>シカ</t>
    </rPh>
    <phoneticPr fontId="1"/>
  </si>
  <si>
    <t>構成要素費用</t>
    <rPh sb="0" eb="2">
      <t>コウセイ</t>
    </rPh>
    <rPh sb="2" eb="4">
      <t>ヨウソ</t>
    </rPh>
    <rPh sb="4" eb="6">
      <t>ヒヨウ</t>
    </rPh>
    <phoneticPr fontId="1"/>
  </si>
  <si>
    <t>占術</t>
    <rPh sb="0" eb="2">
      <t>センジュツ</t>
    </rPh>
    <phoneticPr fontId="1"/>
  </si>
  <si>
    <t>10分</t>
    <rPh sb="2" eb="3">
      <t>フン</t>
    </rPh>
    <phoneticPr fontId="1"/>
  </si>
  <si>
    <t>&lt;宗教&gt;（判定なし）</t>
    <rPh sb="1" eb="3">
      <t>シュウキョウ</t>
    </rPh>
    <rPh sb="5" eb="7">
      <t>ハンテイ</t>
    </rPh>
    <phoneticPr fontId="1"/>
  </si>
  <si>
    <t>175gp</t>
    <phoneticPr fontId="1"/>
  </si>
  <si>
    <t>70gp</t>
    <phoneticPr fontId="1"/>
  </si>
  <si>
    <t>この儀式を執り行なう際､執行者はこれから取りうる行動の選択肢に関して3つまでの</t>
    <phoneticPr fontId="1"/>
  </si>
  <si>
    <t>質問を行なう。青くすきとおった手が現れ、どの行動が最も大きな利益につながるのか</t>
    <phoneticPr fontId="1"/>
  </si>
  <si>
    <t>手振りで示す。向かうべき方向や特定の物体に関して尋ねた場合､この手は最大の報酬が</t>
    <phoneticPr fontId="1"/>
  </si>
  <si>
    <t>得られる方向を指差す｡</t>
    <phoneticPr fontId="1"/>
  </si>
  <si>
    <t>執行者が選択肢を1つしか示さなかった場合、この儀式は「その行動を行なわないこと」を</t>
    <phoneticPr fontId="1"/>
  </si>
  <si>
    <t>もう1つの選択肢とみなす。手は執行者を差し招いてその行動を行なうべきだと示すか､</t>
    <phoneticPr fontId="1"/>
  </si>
  <si>
    <t>思いとどまるよう手振りで示す。</t>
    <phoneticPr fontId="1"/>
  </si>
  <si>
    <t>この手は遠い未来を予測することはできない；手が行なう判断は1時間先までの出来事に</t>
    <phoneticPr fontId="1"/>
  </si>
  <si>
    <t>基づくものである。手が選択肢を選べない場合には、この儀式は何の効果も発揮せず、</t>
    <phoneticPr fontId="1"/>
  </si>
  <si>
    <t>構成要素は消費されない。</t>
    <phoneticPr fontId="1"/>
  </si>
  <si>
    <t>意思決定に際してこの儀式を用いることには2つの難点がある。</t>
    <phoneticPr fontId="1"/>
  </si>
  <si>
    <t>まず、この儀式は危険よりも報酬を重んじる傾向にあり、与えられる示唆もそれに</t>
    <phoneticPr fontId="1"/>
  </si>
  <si>
    <t>基づくものである。運命の手はローリスク・ローリターンな選択肢よりも</t>
    <phoneticPr fontId="1"/>
  </si>
  <si>
    <t>ハイリスク・ハイリターンな選択肢の方を選ぶのだ。</t>
    <phoneticPr fontId="1"/>
  </si>
  <si>
    <t>2つめは、この手は提旅された選択肢のうちでもっとも大きな報酬につながるものを</t>
    <phoneticPr fontId="1"/>
  </si>
  <si>
    <t>選ぶだけであるということだ。したがって､手が指し示した選択肢がよい考えであるという</t>
    <phoneticPr fontId="1"/>
  </si>
  <si>
    <t>クリエイト・ホーリー・ウォーター</t>
    <phoneticPr fontId="1"/>
  </si>
  <si>
    <t>錬金術アイテム/　(信158)</t>
    <rPh sb="0" eb="3">
      <t>レンキンジュツ</t>
    </rPh>
    <rPh sb="10" eb="11">
      <t>シン</t>
    </rPh>
    <phoneticPr fontId="1"/>
  </si>
  <si>
    <t>作成</t>
    <rPh sb="0" eb="2">
      <t>サクセイ</t>
    </rPh>
    <phoneticPr fontId="1"/>
  </si>
  <si>
    <t>1時間</t>
    <rPh sb="1" eb="3">
      <t>ジカン</t>
    </rPh>
    <phoneticPr fontId="1"/>
  </si>
  <si>
    <t>24時間</t>
    <rPh sb="2" eb="4">
      <t>ジカン</t>
    </rPh>
    <phoneticPr fontId="1"/>
  </si>
  <si>
    <t>50gp</t>
    <phoneticPr fontId="1"/>
  </si>
  <si>
    <t>特殊</t>
    <rPh sb="0" eb="2">
      <t>トクシュ</t>
    </rPh>
    <phoneticPr fontId="1"/>
  </si>
  <si>
    <t>Lv1：20ｇｐ　Lv6：75ｇｐ　Lv11：350ｇｐ　Lv16：1800ｇｐ　Lv21：9000ｇｐ　Lv26：45000ｇｐ</t>
    <phoneticPr fontId="1"/>
  </si>
  <si>
    <t>費用</t>
    <rPh sb="0" eb="2">
      <t>ヒヨウ</t>
    </rPh>
    <phoneticPr fontId="1"/>
  </si>
  <si>
    <t>3/6</t>
    <phoneticPr fontId="1"/>
  </si>
  <si>
    <t>[消費型]◆[光輝]</t>
    <rPh sb="0" eb="3">
      <t>ショウヒガタ</t>
    </rPh>
    <rPh sb="7" eb="9">
      <t>コウキ</t>
    </rPh>
    <phoneticPr fontId="1"/>
  </si>
  <si>
    <t>＋４対"反応"</t>
    <rPh sb="3" eb="4">
      <t>タイ</t>
    </rPh>
    <rPh sb="5" eb="7">
      <t>ハンノウ</t>
    </rPh>
    <phoneticPr fontId="1"/>
  </si>
  <si>
    <t>クリーチャー1体</t>
    <rPh sb="7" eb="8">
      <t>タイ</t>
    </rPh>
    <phoneticPr fontId="1"/>
  </si>
  <si>
    <t>アンデッド・クリーチャー1あるいはデーモン１体に１ｄ１０の[光輝]ダメージを与える。</t>
    <rPh sb="22" eb="23">
      <t>タイ</t>
    </rPh>
    <rPh sb="30" eb="32">
      <t>コウキ</t>
    </rPh>
    <rPh sb="38" eb="39">
      <t>アタ</t>
    </rPh>
    <phoneticPr fontId="1"/>
  </si>
  <si>
    <t>Lv6：＋6、1ｄ10　Lv11：+14、2ｄ10　Lv16：＋19、2ｄ10　Lv21：+24、3ｄ10　Lv26：＋29、3ｄ10</t>
    <phoneticPr fontId="1"/>
  </si>
  <si>
    <t>使用者はそれぞれの目標を３マスずつ瞬間移動させる。</t>
    <rPh sb="0" eb="2">
      <t>シヨウ</t>
    </rPh>
    <rPh sb="2" eb="3">
      <t>シャ</t>
    </rPh>
    <rPh sb="9" eb="11">
      <t>モクヒョウ</t>
    </rPh>
    <rPh sb="17" eb="19">
      <t>シュンカン</t>
    </rPh>
    <rPh sb="19" eb="21">
      <t>イドウ</t>
    </rPh>
    <phoneticPr fontId="1"/>
  </si>
  <si>
    <t>[無限回]◆[信仰]［装具］［光輝］</t>
    <rPh sb="1" eb="3">
      <t>ムゲン</t>
    </rPh>
    <rPh sb="3" eb="4">
      <t>カイ</t>
    </rPh>
    <rPh sb="7" eb="9">
      <t>シンコウ</t>
    </rPh>
    <rPh sb="15" eb="17">
      <t>コウキ</t>
    </rPh>
    <phoneticPr fontId="1"/>
  </si>
  <si>
    <t>インヴォーカー/攻撃/１　(信30)</t>
    <rPh sb="8" eb="10">
      <t>コウゲキ</t>
    </rPh>
    <rPh sb="14" eb="15">
      <t>シン</t>
    </rPh>
    <phoneticPr fontId="1"/>
  </si>
  <si>
    <t>ハンド・オヴ・レイディアンス</t>
    <phoneticPr fontId="1"/>
  </si>
  <si>
    <t>　　君がスタッフ類を[装具]として遠隔攻撃および遠隔範囲攻撃を行う際に、</t>
    <rPh sb="2" eb="3">
      <t>キミ</t>
    </rPh>
    <rPh sb="8" eb="9">
      <t>ルイ</t>
    </rPh>
    <rPh sb="11" eb="13">
      <t>ソウグ</t>
    </rPh>
    <rPh sb="17" eb="19">
      <t>エンカク</t>
    </rPh>
    <rPh sb="19" eb="21">
      <t>コウゲキ</t>
    </rPh>
    <rPh sb="24" eb="26">
      <t>エンカク</t>
    </rPh>
    <rPh sb="26" eb="28">
      <t>ハンイ</t>
    </rPh>
    <rPh sb="28" eb="30">
      <t>コウゲキ</t>
    </rPh>
    <rPh sb="31" eb="32">
      <t>オコナ</t>
    </rPh>
    <rPh sb="33" eb="34">
      <t>サイ</t>
    </rPh>
    <phoneticPr fontId="1"/>
  </si>
  <si>
    <t>使用者が攻撃Ｒ、ＳＴ、技能判定、能力値判定のいずれかを１回行い、</t>
    <rPh sb="0" eb="2">
      <t>シヨウ</t>
    </rPh>
    <rPh sb="2" eb="3">
      <t>シャ</t>
    </rPh>
    <rPh sb="4" eb="6">
      <t>コウゲキ</t>
    </rPh>
    <rPh sb="11" eb="13">
      <t>ギノウ</t>
    </rPh>
    <rPh sb="13" eb="15">
      <t>ハンテイ</t>
    </rPh>
    <rPh sb="16" eb="19">
      <t>ノウリョクチ</t>
    </rPh>
    <rPh sb="19" eb="21">
      <t>ハンテイ</t>
    </rPh>
    <rPh sb="28" eb="29">
      <t>カイ</t>
    </rPh>
    <rPh sb="29" eb="30">
      <t>オコナ</t>
    </rPh>
    <phoneticPr fontId="1"/>
  </si>
  <si>
    <r>
      <t>範囲内の</t>
    </r>
    <r>
      <rPr>
        <b/>
        <sz val="11"/>
        <color rgb="FFFF0000"/>
        <rFont val="ＭＳ Ｐゴシック"/>
        <family val="3"/>
        <charset val="128"/>
        <scheme val="minor"/>
      </rPr>
      <t>アンデッドすべて</t>
    </r>
    <rPh sb="0" eb="3">
      <t>ハンイナイ</t>
    </rPh>
    <phoneticPr fontId="1"/>
  </si>
  <si>
    <r>
      <t>範囲内の</t>
    </r>
    <r>
      <rPr>
        <b/>
        <sz val="11"/>
        <color rgb="FFFF0000"/>
        <rFont val="ＭＳ Ｐゴシック"/>
        <family val="3"/>
        <charset val="128"/>
        <scheme val="minor"/>
      </rPr>
      <t>敵すべて</t>
    </r>
    <rPh sb="0" eb="3">
      <t>ハンイナイ</t>
    </rPh>
    <rPh sb="4" eb="5">
      <t>テキ</t>
    </rPh>
    <phoneticPr fontId="1"/>
  </si>
  <si>
    <r>
      <t>味方１体または</t>
    </r>
    <r>
      <rPr>
        <b/>
        <sz val="11"/>
        <color rgb="FFFF0000"/>
        <rFont val="ＭＳ Ｐゴシック"/>
        <family val="3"/>
        <charset val="128"/>
        <scheme val="minor"/>
      </rPr>
      <t>２体</t>
    </r>
    <rPh sb="0" eb="2">
      <t>ミカタ</t>
    </rPh>
    <rPh sb="3" eb="4">
      <t>タイ</t>
    </rPh>
    <rPh sb="8" eb="9">
      <t>タイ</t>
    </rPh>
    <phoneticPr fontId="1"/>
  </si>
  <si>
    <t>装具キーワードが無い為に　残念ながら機会攻撃を誘発・・・</t>
    <rPh sb="0" eb="2">
      <t>ソウグ</t>
    </rPh>
    <rPh sb="8" eb="9">
      <t>ナ</t>
    </rPh>
    <rPh sb="10" eb="11">
      <t>タメ</t>
    </rPh>
    <rPh sb="13" eb="15">
      <t>ザンネン</t>
    </rPh>
    <rPh sb="18" eb="20">
      <t>キカイ</t>
    </rPh>
    <rPh sb="20" eb="22">
      <t>コウゲキ</t>
    </rPh>
    <rPh sb="23" eb="25">
      <t>ユウハツ</t>
    </rPh>
    <phoneticPr fontId="1"/>
  </si>
  <si>
    <t>やりたければどうぞ、って程度のモノか？</t>
    <rPh sb="12" eb="14">
      <t>テイド</t>
    </rPh>
    <phoneticPr fontId="1"/>
  </si>
  <si>
    <t>保障はなく、ただ執行者が示した他の選択肢よりはマシであるというだけである。</t>
    <phoneticPr fontId="1"/>
  </si>
  <si>
    <t>フレイム・ゼファー</t>
    <phoneticPr fontId="1"/>
  </si>
  <si>
    <t>小型・元素・魔獣(風・火)</t>
    <rPh sb="0" eb="2">
      <t>コガタ</t>
    </rPh>
    <rPh sb="3" eb="5">
      <t>ゲンソ</t>
    </rPh>
    <rPh sb="6" eb="8">
      <t>マジュウ</t>
    </rPh>
    <rPh sb="9" eb="10">
      <t>カゼ</t>
    </rPh>
    <rPh sb="11" eb="12">
      <t>カ</t>
    </rPh>
    <phoneticPr fontId="1"/>
  </si>
  <si>
    <t>HP：使用者の重傷値；回復力なし。ただし、何らかの効果によってこのクリーチャーが回復力を消</t>
    <rPh sb="3" eb="6">
      <t>シヨウシャ</t>
    </rPh>
    <rPh sb="7" eb="9">
      <t>ジュウショウ</t>
    </rPh>
    <rPh sb="9" eb="10">
      <t>チ</t>
    </rPh>
    <rPh sb="11" eb="14">
      <t>カイフクリョク</t>
    </rPh>
    <rPh sb="21" eb="22">
      <t>ナン</t>
    </rPh>
    <rPh sb="25" eb="27">
      <t>コウカ</t>
    </rPh>
    <rPh sb="40" eb="43">
      <t>カイフクリョク</t>
    </rPh>
    <phoneticPr fontId="1"/>
  </si>
  <si>
    <t>費できる際には、使用者が代わりに回復力を消費してこのクリーチャーを回復させることができる。</t>
    <rPh sb="4" eb="5">
      <t>サイ</t>
    </rPh>
    <rPh sb="8" eb="10">
      <t>シヨウ</t>
    </rPh>
    <rPh sb="10" eb="11">
      <t>シャ</t>
    </rPh>
    <rPh sb="12" eb="13">
      <t>カ</t>
    </rPh>
    <rPh sb="16" eb="19">
      <t>カイフクリョク</t>
    </rPh>
    <rPh sb="20" eb="22">
      <t>ショウヒ</t>
    </rPh>
    <rPh sb="33" eb="35">
      <t>カイフク</t>
    </rPh>
    <phoneticPr fontId="1"/>
  </si>
  <si>
    <t>移動速度：６、飛行６　　　　　抵抗：[火]10</t>
    <rPh sb="0" eb="2">
      <t>イドウ</t>
    </rPh>
    <rPh sb="2" eb="4">
      <t>ソクド</t>
    </rPh>
    <rPh sb="7" eb="9">
      <t>ヒコウ</t>
    </rPh>
    <rPh sb="15" eb="17">
      <t>テイコウ</t>
    </rPh>
    <rPh sb="19" eb="20">
      <t>カ</t>
    </rPh>
    <phoneticPr fontId="1"/>
  </si>
  <si>
    <t>ダスト・アンド・スモーク◆オーラ１</t>
    <phoneticPr fontId="1"/>
  </si>
  <si>
    <t>　使用者の味方はこのオーラ内にいる間、部分視認困難を得る。使用者はこのオーラ内の敵に</t>
    <rPh sb="1" eb="4">
      <t>シヨウシャ</t>
    </rPh>
    <rPh sb="5" eb="7">
      <t>ミカタ</t>
    </rPh>
    <rPh sb="13" eb="14">
      <t>ナイ</t>
    </rPh>
    <rPh sb="17" eb="18">
      <t>アイダ</t>
    </rPh>
    <rPh sb="19" eb="21">
      <t>ブブン</t>
    </rPh>
    <rPh sb="21" eb="23">
      <t>シニン</t>
    </rPh>
    <rPh sb="23" eb="25">
      <t>コンナン</t>
    </rPh>
    <rPh sb="26" eb="27">
      <t>エ</t>
    </rPh>
    <rPh sb="29" eb="32">
      <t>シヨウシャ</t>
    </rPh>
    <rPh sb="38" eb="39">
      <t>ナイ</t>
    </rPh>
    <rPh sb="40" eb="41">
      <t>テキ</t>
    </rPh>
    <phoneticPr fontId="1"/>
  </si>
  <si>
    <t>　対するダメージRに＋２パワーBを得る。(Lv11：＋３、Lv21：＋４)</t>
    <rPh sb="1" eb="2">
      <t>タイ</t>
    </rPh>
    <rPh sb="17" eb="18">
      <t>エ</t>
    </rPh>
    <phoneticPr fontId="1"/>
  </si>
  <si>
    <t>標準アクション：[火]◆無限回</t>
    <rPh sb="0" eb="2">
      <t>ヒョウジュン</t>
    </rPh>
    <rPh sb="9" eb="10">
      <t>ヒ</t>
    </rPh>
    <rPh sb="12" eb="14">
      <t>ムゲン</t>
    </rPh>
    <rPh sb="14" eb="15">
      <t>カイ</t>
    </rPh>
    <phoneticPr fontId="1"/>
  </si>
  <si>
    <t>　攻撃：近接範囲・爆発１(範囲内のクリーチャーすべて)　使用者のレベル＋５ｖｓ反応</t>
    <rPh sb="1" eb="3">
      <t>コウゲキ</t>
    </rPh>
    <rPh sb="4" eb="6">
      <t>キンセツ</t>
    </rPh>
    <rPh sb="6" eb="8">
      <t>ハンイ</t>
    </rPh>
    <rPh sb="9" eb="11">
      <t>バクハツ</t>
    </rPh>
    <rPh sb="13" eb="16">
      <t>ハンイナイ</t>
    </rPh>
    <rPh sb="28" eb="30">
      <t>シヨウ</t>
    </rPh>
    <rPh sb="30" eb="31">
      <t>シャ</t>
    </rPh>
    <rPh sb="39" eb="41">
      <t>ハンノウ</t>
    </rPh>
    <phoneticPr fontId="1"/>
  </si>
  <si>
    <t>　ヒット：（１ｄ６＋使用者の最も高い能力修正値）の[火]ダメージ。</t>
    <rPh sb="10" eb="12">
      <t>シヨウ</t>
    </rPh>
    <rPh sb="12" eb="13">
      <t>シャ</t>
    </rPh>
    <rPh sb="14" eb="15">
      <t>モット</t>
    </rPh>
    <rPh sb="16" eb="17">
      <t>タカ</t>
    </rPh>
    <rPh sb="18" eb="20">
      <t>ノウリョク</t>
    </rPh>
    <rPh sb="20" eb="22">
      <t>シュウセイ</t>
    </rPh>
    <rPh sb="22" eb="23">
      <t>チ</t>
    </rPh>
    <rPh sb="26" eb="27">
      <t>ヒ</t>
    </rPh>
    <phoneticPr fontId="1"/>
  </si>
  <si>
    <t>　　使用者は目標を1マス横滑りさせる事ができる。（Ｌｖ21：２ｄ６）</t>
    <rPh sb="2" eb="5">
      <t>シヨウシャ</t>
    </rPh>
    <rPh sb="6" eb="8">
      <t>モクヒョウ</t>
    </rPh>
    <rPh sb="12" eb="14">
      <t>ヨコスベ</t>
    </rPh>
    <rPh sb="18" eb="19">
      <t>コト</t>
    </rPh>
    <phoneticPr fontId="1"/>
  </si>
  <si>
    <t>マイナー・アクション◆無限回(１Ｒ1回まで)</t>
    <rPh sb="11" eb="13">
      <t>ムゲン</t>
    </rPh>
    <rPh sb="13" eb="14">
      <t>カイ</t>
    </rPh>
    <rPh sb="18" eb="19">
      <t>カイ</t>
    </rPh>
    <phoneticPr fontId="1"/>
  </si>
  <si>
    <t>　効果：このクリーチャーは疾走、シフト、立ち上がる、這い進み、歩行、無理矢理入り込む</t>
    <rPh sb="1" eb="3">
      <t>コウカ</t>
    </rPh>
    <phoneticPr fontId="1"/>
  </si>
  <si>
    <t>　　　　　のいずれかを行う。</t>
    <phoneticPr fontId="1"/>
  </si>
  <si>
    <t>インヴォーカー/攻撃/９　(PHⅡ55)</t>
    <rPh sb="8" eb="10">
      <t>コウゲキ</t>
    </rPh>
    <phoneticPr fontId="1"/>
  </si>
  <si>
    <t>[一日毎]◆［召喚］［信仰］［装具］</t>
    <rPh sb="7" eb="9">
      <t>ショウカン</t>
    </rPh>
    <phoneticPr fontId="1"/>
  </si>
  <si>
    <t>ブレード・エンジェルを１体召喚する。</t>
    <rPh sb="12" eb="13">
      <t>タイ</t>
    </rPh>
    <rPh sb="13" eb="15">
      <t>ショウカン</t>
    </rPh>
    <phoneticPr fontId="1"/>
  </si>
  <si>
    <t>このエンジェルは移動速度６と飛行移動速度６(ホバリング)を有し、</t>
    <rPh sb="8" eb="10">
      <t>イドウ</t>
    </rPh>
    <rPh sb="10" eb="12">
      <t>ソクド</t>
    </rPh>
    <rPh sb="14" eb="16">
      <t>ヒコウ</t>
    </rPh>
    <rPh sb="16" eb="18">
      <t>イドウ</t>
    </rPh>
    <rPh sb="18" eb="20">
      <t>ソクド</t>
    </rPh>
    <rPh sb="29" eb="30">
      <t>ユウ</t>
    </rPh>
    <phoneticPr fontId="1"/>
  </si>
  <si>
    <t>ＡＣに＋４のボーナスを得ている。</t>
    <rPh sb="11" eb="12">
      <t>エ</t>
    </rPh>
    <phoneticPr fontId="1"/>
  </si>
  <si>
    <t>　マイナーアクション　近接・１　目標はクリーチャー１体</t>
    <rPh sb="11" eb="13">
      <t>キンセツ</t>
    </rPh>
    <rPh sb="16" eb="18">
      <t>モクヒョウ</t>
    </rPh>
    <rPh sb="26" eb="27">
      <t>タイ</t>
    </rPh>
    <phoneticPr fontId="1"/>
  </si>
  <si>
    <t>　　【判】ｖｓ頑健　１ｄ８＋【判】ダメージ</t>
    <rPh sb="3" eb="4">
      <t>ハン</t>
    </rPh>
    <rPh sb="7" eb="9">
      <t>ガンケン</t>
    </rPh>
    <rPh sb="15" eb="16">
      <t>ハン</t>
    </rPh>
    <phoneticPr fontId="1"/>
  </si>
  <si>
    <t>　　【判】ｖｓ反応　１ｄ８＋【判】ダメージ　目標の次Ｔ終まで減速状態</t>
    <rPh sb="3" eb="4">
      <t>ハン</t>
    </rPh>
    <rPh sb="7" eb="9">
      <t>ハンノウ</t>
    </rPh>
    <rPh sb="15" eb="16">
      <t>ハン</t>
    </rPh>
    <rPh sb="22" eb="24">
      <t>モクヒョウ</t>
    </rPh>
    <rPh sb="25" eb="26">
      <t>ジ</t>
    </rPh>
    <rPh sb="27" eb="28">
      <t>シュウ</t>
    </rPh>
    <rPh sb="30" eb="32">
      <t>ゲンソク</t>
    </rPh>
    <rPh sb="32" eb="34">
      <t>ジョウタイ</t>
    </rPh>
    <phoneticPr fontId="1"/>
  </si>
  <si>
    <t>近接基礎１</t>
    <rPh sb="0" eb="2">
      <t>キンセツ</t>
    </rPh>
    <rPh sb="2" eb="4">
      <t>キソ</t>
    </rPh>
    <phoneticPr fontId="1"/>
  </si>
  <si>
    <t>素手</t>
    <rPh sb="0" eb="2">
      <t>スデ</t>
    </rPh>
    <phoneticPr fontId="1"/>
  </si>
  <si>
    <t>両手持ちスタッフ</t>
    <rPh sb="0" eb="1">
      <t>リョウ</t>
    </rPh>
    <rPh sb="1" eb="3">
      <t>テモ</t>
    </rPh>
    <phoneticPr fontId="1"/>
  </si>
  <si>
    <t>素手</t>
    <rPh sb="0" eb="2">
      <t>スデ</t>
    </rPh>
    <phoneticPr fontId="1"/>
  </si>
  <si>
    <t>近接基礎１</t>
    <phoneticPr fontId="1"/>
  </si>
  <si>
    <t>近接基礎２</t>
    <rPh sb="0" eb="2">
      <t>キンセツ</t>
    </rPh>
    <rPh sb="2" eb="4">
      <t>キソ</t>
    </rPh>
    <phoneticPr fontId="1"/>
  </si>
  <si>
    <t>召喚基礎</t>
    <rPh sb="0" eb="2">
      <t>ショウカン</t>
    </rPh>
    <rPh sb="2" eb="4">
      <t>キソ</t>
    </rPh>
    <phoneticPr fontId="1"/>
  </si>
  <si>
    <t>召喚基礎</t>
    <rPh sb="0" eb="2">
      <t>ショウカン</t>
    </rPh>
    <rPh sb="2" eb="4">
      <t>キソ</t>
    </rPh>
    <phoneticPr fontId="1"/>
  </si>
  <si>
    <t>ＡＣ</t>
    <phoneticPr fontId="1"/>
  </si>
  <si>
    <t>ウィンド･スタッフ　Lv14</t>
    <phoneticPr fontId="1"/>
  </si>
  <si>
    <t>Lv10：1日2回使用できるようになるが、1つの遭遇では1回しか使用できない。</t>
    <rPh sb="6" eb="7">
      <t>ニチ</t>
    </rPh>
    <rPh sb="8" eb="9">
      <t>カイ</t>
    </rPh>
    <rPh sb="9" eb="11">
      <t>シヨウ</t>
    </rPh>
    <rPh sb="24" eb="26">
      <t>ソウグウ</t>
    </rPh>
    <rPh sb="29" eb="30">
      <t>カイ</t>
    </rPh>
    <rPh sb="32" eb="34">
      <t>シヨウ</t>
    </rPh>
    <phoneticPr fontId="1"/>
  </si>
  <si>
    <t>モートボーン/汎用/１０　(元59)</t>
    <rPh sb="7" eb="9">
      <t>ハンヨウ</t>
    </rPh>
    <rPh sb="14" eb="15">
      <t>ゲン</t>
    </rPh>
    <phoneticPr fontId="1"/>
  </si>
  <si>
    <t>[遭遇毎]◆[区域][元素]</t>
    <rPh sb="1" eb="3">
      <t>ソウグウ</t>
    </rPh>
    <rPh sb="3" eb="4">
      <t>マイ</t>
    </rPh>
    <rPh sb="7" eb="9">
      <t>クイキ</t>
    </rPh>
    <rPh sb="11" eb="13">
      <t>ゲンソ</t>
    </rPh>
    <phoneticPr fontId="1"/>
  </si>
  <si>
    <t>１つのマス</t>
    <phoneticPr fontId="1"/>
  </si>
  <si>
    <t>目標のマスに、この遭遇が終了するか敵がそのマスに入るまで持続する区域が作り出される。</t>
    <rPh sb="0" eb="2">
      <t>モクヒョウ</t>
    </rPh>
    <rPh sb="9" eb="11">
      <t>ソウグウ</t>
    </rPh>
    <rPh sb="12" eb="14">
      <t>シュウリョウ</t>
    </rPh>
    <rPh sb="17" eb="18">
      <t>テキ</t>
    </rPh>
    <rPh sb="24" eb="25">
      <t>ハイ</t>
    </rPh>
    <rPh sb="28" eb="30">
      <t>ジゾク</t>
    </rPh>
    <rPh sb="32" eb="34">
      <t>クイキ</t>
    </rPh>
    <rPh sb="35" eb="36">
      <t>ツク</t>
    </rPh>
    <rPh sb="37" eb="38">
      <t>ダ</t>
    </rPh>
    <phoneticPr fontId="1"/>
  </si>
  <si>
    <t>使用者の敵は難易度１０＋使用者のLv＋使用者の最も高い能力修正値の〈知覚〉判定に</t>
    <rPh sb="0" eb="2">
      <t>シヨウ</t>
    </rPh>
    <rPh sb="2" eb="3">
      <t>シャ</t>
    </rPh>
    <rPh sb="4" eb="5">
      <t>テキ</t>
    </rPh>
    <rPh sb="6" eb="9">
      <t>ナンイド</t>
    </rPh>
    <rPh sb="12" eb="14">
      <t>シヨウ</t>
    </rPh>
    <rPh sb="14" eb="15">
      <t>シャ</t>
    </rPh>
    <rPh sb="19" eb="21">
      <t>シヨウ</t>
    </rPh>
    <rPh sb="21" eb="22">
      <t>シャ</t>
    </rPh>
    <rPh sb="23" eb="24">
      <t>モット</t>
    </rPh>
    <rPh sb="25" eb="26">
      <t>タカ</t>
    </rPh>
    <rPh sb="27" eb="29">
      <t>ノウリョク</t>
    </rPh>
    <rPh sb="29" eb="31">
      <t>シュウセイ</t>
    </rPh>
    <rPh sb="31" eb="32">
      <t>チ</t>
    </rPh>
    <rPh sb="34" eb="36">
      <t>チカク</t>
    </rPh>
    <rPh sb="37" eb="39">
      <t>ハンテイ</t>
    </rPh>
    <phoneticPr fontId="1"/>
  </si>
  <si>
    <t>成功しない限り、この区域にも、使用者がこのパワーを使用した事にも、気付かない。</t>
    <rPh sb="0" eb="2">
      <t>セイコウ</t>
    </rPh>
    <rPh sb="5" eb="6">
      <t>カギ</t>
    </rPh>
    <rPh sb="10" eb="12">
      <t>クイキ</t>
    </rPh>
    <rPh sb="15" eb="17">
      <t>シヨウ</t>
    </rPh>
    <rPh sb="17" eb="18">
      <t>シャ</t>
    </rPh>
    <rPh sb="25" eb="27">
      <t>シヨウ</t>
    </rPh>
    <rPh sb="29" eb="30">
      <t>コト</t>
    </rPh>
    <rPh sb="33" eb="35">
      <t>キヅ</t>
    </rPh>
    <phoneticPr fontId="1"/>
  </si>
  <si>
    <r>
      <t>敵がこの区域に入ると、その</t>
    </r>
    <r>
      <rPr>
        <b/>
        <sz val="14"/>
        <color rgb="FFFF0000"/>
        <rFont val="ＭＳ Ｐゴシック"/>
        <family val="3"/>
        <charset val="128"/>
        <scheme val="minor"/>
      </rPr>
      <t>敵およびその敵に隣接するクリーチャーすべて</t>
    </r>
    <r>
      <rPr>
        <sz val="11"/>
        <color theme="1"/>
        <rFont val="ＭＳ Ｐゴシック"/>
        <family val="2"/>
        <charset val="128"/>
        <scheme val="minor"/>
      </rPr>
      <t>は</t>
    </r>
    <rPh sb="0" eb="1">
      <t>テキ</t>
    </rPh>
    <rPh sb="4" eb="6">
      <t>クイキ</t>
    </rPh>
    <rPh sb="7" eb="8">
      <t>ハイ</t>
    </rPh>
    <rPh sb="13" eb="14">
      <t>テキ</t>
    </rPh>
    <rPh sb="19" eb="20">
      <t>テキ</t>
    </rPh>
    <rPh sb="21" eb="23">
      <t>リンセツ</t>
    </rPh>
    <phoneticPr fontId="1"/>
  </si>
  <si>
    <r>
      <rPr>
        <b/>
        <sz val="14"/>
        <color rgb="FFFF0000"/>
        <rFont val="ＭＳ Ｐゴシック"/>
        <family val="3"/>
        <charset val="128"/>
        <scheme val="minor"/>
      </rPr>
      <t>５ダメージを受けて伏せ</t>
    </r>
    <r>
      <rPr>
        <sz val="11"/>
        <rFont val="ＭＳ Ｐゴシック"/>
        <family val="3"/>
        <charset val="128"/>
        <scheme val="minor"/>
      </rPr>
      <t>状態となる。</t>
    </r>
    <rPh sb="6" eb="7">
      <t>ウ</t>
    </rPh>
    <rPh sb="9" eb="10">
      <t>フ</t>
    </rPh>
    <rPh sb="11" eb="13">
      <t>ジョウタイ</t>
    </rPh>
    <phoneticPr fontId="1"/>
  </si>
  <si>
    <t>近接基礎３</t>
  </si>
  <si>
    <t>近接基礎３</t>
    <rPh sb="0" eb="2">
      <t>キンセツ</t>
    </rPh>
    <rPh sb="2" eb="4">
      <t>キソ</t>
    </rPh>
    <phoneticPr fontId="1"/>
  </si>
  <si>
    <t>両手用</t>
    <rPh sb="0" eb="1">
      <t>リョウテ</t>
    </rPh>
    <rPh sb="1" eb="2">
      <t>ヨウ</t>
    </rPh>
    <phoneticPr fontId="1"/>
  </si>
  <si>
    <t>両手用、上級装具（正確性）、間合２</t>
    <rPh sb="0" eb="2">
      <t>リョウテ</t>
    </rPh>
    <rPh sb="2" eb="3">
      <t>ヨウ</t>
    </rPh>
    <rPh sb="14" eb="16">
      <t>マア</t>
    </rPh>
    <phoneticPr fontId="1"/>
  </si>
  <si>
    <t>武器パワー情報</t>
    <rPh sb="0" eb="2">
      <t>ブキ</t>
    </rPh>
    <rPh sb="5" eb="7">
      <t>ジョウホウ</t>
    </rPh>
    <phoneticPr fontId="1"/>
  </si>
  <si>
    <t>装具・クラス特徴・汎用パワー情報</t>
    <rPh sb="0" eb="2">
      <t>ソウグ</t>
    </rPh>
    <rPh sb="6" eb="8">
      <t>トクチョウ</t>
    </rPh>
    <rPh sb="9" eb="11">
      <t>ハンヨウ</t>
    </rPh>
    <rPh sb="14" eb="16">
      <t>ジョウホウ</t>
    </rPh>
    <phoneticPr fontId="1"/>
  </si>
  <si>
    <t>ダメージダイス数</t>
    <rPh sb="7" eb="8">
      <t>スウ</t>
    </rPh>
    <phoneticPr fontId="1"/>
  </si>
  <si>
    <t>d</t>
    <phoneticPr fontId="1"/>
  </si>
  <si>
    <t>２次</t>
    <rPh sb="1" eb="2">
      <t>ジ</t>
    </rPh>
    <phoneticPr fontId="1"/>
  </si>
  <si>
    <t>↓基本値</t>
    <rPh sb="1" eb="3">
      <t>キホン</t>
    </rPh>
    <rPh sb="3" eb="4">
      <t>チ</t>
    </rPh>
    <phoneticPr fontId="1"/>
  </si>
  <si>
    <t>※《撃ち下ろし射撃》(PHⅢ177)</t>
    <rPh sb="2" eb="3">
      <t>ウ</t>
    </rPh>
    <rPh sb="4" eb="5">
      <t>オ</t>
    </rPh>
    <rPh sb="7" eb="9">
      <t>シャゲキ</t>
    </rPh>
    <phoneticPr fontId="1"/>
  </si>
  <si>
    <t>マントル・オヴ・ジ・インフィデル</t>
    <phoneticPr fontId="1"/>
  </si>
  <si>
    <t>[無限回]◆［光輝］[信仰]［装具］</t>
    <rPh sb="1" eb="3">
      <t>ムゲン</t>
    </rPh>
    <rPh sb="3" eb="4">
      <t>カイ</t>
    </rPh>
    <rPh sb="7" eb="9">
      <t>コウキ</t>
    </rPh>
    <rPh sb="11" eb="13">
      <t>シンコウ</t>
    </rPh>
    <phoneticPr fontId="1"/>
  </si>
  <si>
    <t>(１ｄ6＋【判断力】)の[光輝]ダメージ</t>
    <rPh sb="6" eb="9">
      <t>ハンダンリョク</t>
    </rPh>
    <rPh sb="13" eb="15">
      <t>コウキ</t>
    </rPh>
    <phoneticPr fontId="1"/>
  </si>
  <si>
    <t>Lv21：(２ｄ6＋【判断力】)の[光輝]ダメージ</t>
    <rPh sb="18" eb="20">
      <t>コウキ</t>
    </rPh>
    <phoneticPr fontId="1"/>
  </si>
  <si>
    <t>目標がマークされている場合、その”マークされた状態”による</t>
    <rPh sb="0" eb="2">
      <t>モクヒョウ</t>
    </rPh>
    <rPh sb="11" eb="13">
      <t>バアイ</t>
    </rPh>
    <rPh sb="23" eb="25">
      <t>ジョウタイ</t>
    </rPh>
    <phoneticPr fontId="1"/>
  </si>
  <si>
    <t>【判断力】対"意志"</t>
    <rPh sb="1" eb="4">
      <t>ハンダンリョク</t>
    </rPh>
    <rPh sb="5" eb="6">
      <t>タイ</t>
    </rPh>
    <rPh sb="7" eb="9">
      <t>イシ</t>
    </rPh>
    <phoneticPr fontId="1"/>
  </si>
  <si>
    <t>マークが消える（上書き含む）まで何ターンでも効果が持続</t>
    <rPh sb="4" eb="5">
      <t>キ</t>
    </rPh>
    <rPh sb="8" eb="10">
      <t>ウワガ</t>
    </rPh>
    <rPh sb="11" eb="12">
      <t>フク</t>
    </rPh>
    <rPh sb="16" eb="17">
      <t>ナン</t>
    </rPh>
    <rPh sb="22" eb="24">
      <t>コウカ</t>
    </rPh>
    <rPh sb="25" eb="27">
      <t>ジゾク</t>
    </rPh>
    <phoneticPr fontId="1"/>
  </si>
  <si>
    <t>ファイアーズ・オヴ・ジャッジメント</t>
    <phoneticPr fontId="1"/>
  </si>
  <si>
    <t>インヴォーカー/攻撃/３　(Dragon383 33)</t>
    <rPh sb="8" eb="10">
      <t>コウゲキ</t>
    </rPh>
    <phoneticPr fontId="1"/>
  </si>
  <si>
    <t>[遭遇毎]◆［信仰］［装具］[火]</t>
    <rPh sb="1" eb="3">
      <t>ソウグウ</t>
    </rPh>
    <rPh sb="3" eb="4">
      <t>マイ</t>
    </rPh>
    <rPh sb="15" eb="16">
      <t>ヒ</t>
    </rPh>
    <phoneticPr fontId="1"/>
  </si>
  <si>
    <t>【判断力】対"反応"</t>
    <rPh sb="5" eb="6">
      <t>タイ</t>
    </rPh>
    <rPh sb="7" eb="8">
      <t>ハン</t>
    </rPh>
    <rPh sb="8" eb="9">
      <t>オウ</t>
    </rPh>
    <phoneticPr fontId="1"/>
  </si>
  <si>
    <r>
      <t>(</t>
    </r>
    <r>
      <rPr>
        <b/>
        <sz val="11"/>
        <color rgb="FFFF0000"/>
        <rFont val="ＭＳ Ｐゴシック"/>
        <family val="3"/>
        <charset val="128"/>
        <scheme val="minor"/>
      </rPr>
      <t>２ｄ１０</t>
    </r>
    <r>
      <rPr>
        <sz val="11"/>
        <rFont val="ＭＳ Ｐゴシック"/>
        <family val="3"/>
        <charset val="128"/>
        <scheme val="minor"/>
      </rPr>
      <t>＋【判断力】)の[火]ダメージ</t>
    </r>
    <rPh sb="14" eb="15">
      <t>ヒ</t>
    </rPh>
    <phoneticPr fontId="1"/>
  </si>
  <si>
    <r>
      <t>この攻撃は替わりに（</t>
    </r>
    <r>
      <rPr>
        <b/>
        <sz val="11"/>
        <color rgb="FFFF0000"/>
        <rFont val="ＭＳ Ｐゴシック"/>
        <family val="3"/>
        <charset val="128"/>
        <scheme val="minor"/>
      </rPr>
      <t>２ｄ１２</t>
    </r>
    <r>
      <rPr>
        <sz val="11"/>
        <rFont val="ＭＳ Ｐゴシック"/>
        <family val="3"/>
        <charset val="128"/>
        <scheme val="minor"/>
      </rPr>
      <t>＋【判断力】)の[火]ダメージを与える。</t>
    </r>
    <rPh sb="5" eb="6">
      <t>カ</t>
    </rPh>
    <phoneticPr fontId="1"/>
  </si>
  <si>
    <r>
      <t>保護の誓約</t>
    </r>
    <r>
      <rPr>
        <b/>
        <sz val="11"/>
        <color theme="1"/>
        <rFont val="ＭＳ Ｐゴシック"/>
        <family val="3"/>
        <charset val="128"/>
        <scheme val="minor"/>
      </rPr>
      <t xml:space="preserve"> : </t>
    </r>
    <r>
      <rPr>
        <sz val="11"/>
        <color theme="1"/>
        <rFont val="ＭＳ Ｐゴシック"/>
        <family val="3"/>
        <charset val="128"/>
        <scheme val="minor"/>
      </rPr>
      <t>範囲内の味方は使用者の次Ｔ開始時まで、セーヴィング・スローに</t>
    </r>
    <r>
      <rPr>
        <b/>
        <sz val="11"/>
        <color rgb="FFFF0000"/>
        <rFont val="ＭＳ Ｐゴシック"/>
        <family val="3"/>
        <charset val="128"/>
        <scheme val="minor"/>
      </rPr>
      <t>＋２</t>
    </r>
    <r>
      <rPr>
        <sz val="11"/>
        <color theme="1"/>
        <rFont val="ＭＳ Ｐゴシック"/>
        <family val="3"/>
        <charset val="128"/>
        <scheme val="minor"/>
      </rPr>
      <t>ボーナス</t>
    </r>
    <rPh sb="3" eb="5">
      <t>セイヤク</t>
    </rPh>
    <rPh sb="8" eb="11">
      <t>ハンイナイ</t>
    </rPh>
    <rPh sb="12" eb="14">
      <t>ミカタ</t>
    </rPh>
    <phoneticPr fontId="1"/>
  </si>
  <si>
    <t>爆発内の味方全て、スミスの次Ｔ開始まで全てのＳＴに＋２無印ボーナス！</t>
    <rPh sb="0" eb="2">
      <t>バクハツ</t>
    </rPh>
    <rPh sb="2" eb="3">
      <t>ナイ</t>
    </rPh>
    <rPh sb="4" eb="6">
      <t>ミカタ</t>
    </rPh>
    <rPh sb="6" eb="7">
      <t>スベ</t>
    </rPh>
    <rPh sb="13" eb="14">
      <t>ツギ</t>
    </rPh>
    <rPh sb="15" eb="17">
      <t>カイシ</t>
    </rPh>
    <rPh sb="19" eb="20">
      <t>スベ</t>
    </rPh>
    <rPh sb="27" eb="29">
      <t>ムジルシ</t>
    </rPh>
    <phoneticPr fontId="1"/>
  </si>
  <si>
    <t>　　味方を巻き込めるので気楽に使える、いや、むしろ絶対に巻き込め！</t>
    <rPh sb="2" eb="4">
      <t>ミカタ</t>
    </rPh>
    <rPh sb="5" eb="6">
      <t>マ</t>
    </rPh>
    <rPh sb="7" eb="8">
      <t>コ</t>
    </rPh>
    <rPh sb="12" eb="14">
      <t>キラク</t>
    </rPh>
    <rPh sb="15" eb="16">
      <t>ツカ</t>
    </rPh>
    <rPh sb="25" eb="27">
      <t>ゼッタイ</t>
    </rPh>
    <rPh sb="28" eb="29">
      <t>マ</t>
    </rPh>
    <rPh sb="30" eb="31">
      <t>コ</t>
    </rPh>
    <phoneticPr fontId="1"/>
  </si>
  <si>
    <t>　　インチキ重傷のお陰で遭遇序盤でもダメージＵＰが高確率で発動するので安定。</t>
    <rPh sb="6" eb="8">
      <t>ジュウショウ</t>
    </rPh>
    <rPh sb="10" eb="11">
      <t>カゲ</t>
    </rPh>
    <rPh sb="12" eb="14">
      <t>ソウグウ</t>
    </rPh>
    <rPh sb="14" eb="16">
      <t>ジョバン</t>
    </rPh>
    <rPh sb="25" eb="28">
      <t>コウカクリツ</t>
    </rPh>
    <rPh sb="29" eb="31">
      <t>ハツドウ</t>
    </rPh>
    <rPh sb="35" eb="37">
      <t>アンテイ</t>
    </rPh>
    <phoneticPr fontId="1"/>
  </si>
  <si>
    <t>　　っかし、ダメージ高ぇな・・・。</t>
    <rPh sb="10" eb="11">
      <t>タカ</t>
    </rPh>
    <phoneticPr fontId="1"/>
  </si>
  <si>
    <t>②盲目対策</t>
    <rPh sb="1" eb="3">
      <t>モウモク</t>
    </rPh>
    <rPh sb="3" eb="5">
      <t>タイサク</t>
    </rPh>
    <phoneticPr fontId="1"/>
  </si>
  <si>
    <t>　　とりあえず気楽に撃っちゃってＯＫ！</t>
    <rPh sb="7" eb="9">
      <t>キラク</t>
    </rPh>
    <rPh sb="10" eb="11">
      <t>ウ</t>
    </rPh>
    <phoneticPr fontId="1"/>
  </si>
  <si>
    <t>　　味方を巻き込めるので本当に気楽に使えるっていうより、だから巻き込め。</t>
    <rPh sb="2" eb="4">
      <t>ミカタ</t>
    </rPh>
    <rPh sb="5" eb="6">
      <t>マ</t>
    </rPh>
    <rPh sb="7" eb="8">
      <t>コ</t>
    </rPh>
    <rPh sb="12" eb="14">
      <t>ホントウ</t>
    </rPh>
    <rPh sb="15" eb="17">
      <t>キラク</t>
    </rPh>
    <rPh sb="18" eb="19">
      <t>ツカ</t>
    </rPh>
    <rPh sb="31" eb="32">
      <t>マ</t>
    </rPh>
    <rPh sb="33" eb="34">
      <t>コ</t>
    </rPh>
    <phoneticPr fontId="1"/>
  </si>
  <si>
    <t>③大群対策</t>
    <rPh sb="1" eb="3">
      <t>タイグン</t>
    </rPh>
    <rPh sb="3" eb="5">
      <t>タイサク</t>
    </rPh>
    <phoneticPr fontId="1"/>
  </si>
  <si>
    <t>　　レアケースではあるが結構大事。</t>
    <rPh sb="12" eb="14">
      <t>ケッコウ</t>
    </rPh>
    <rPh sb="14" eb="16">
      <t>ダイジ</t>
    </rPh>
    <phoneticPr fontId="1"/>
  </si>
  <si>
    <t>④セーヴ対策</t>
    <rPh sb="4" eb="6">
      <t>タイサク</t>
    </rPh>
    <phoneticPr fontId="1"/>
  </si>
  <si>
    <t>　　真剣に検討する余地がある。</t>
    <rPh sb="2" eb="4">
      <t>シンケン</t>
    </rPh>
    <rPh sb="5" eb="7">
      <t>ケントウ</t>
    </rPh>
    <rPh sb="9" eb="11">
      <t>ヨチ</t>
    </rPh>
    <phoneticPr fontId="1"/>
  </si>
  <si>
    <t>味方
重傷</t>
    <rPh sb="0" eb="2">
      <t>ミカタ</t>
    </rPh>
    <rPh sb="3" eb="5">
      <t>ジュウショウ</t>
    </rPh>
    <phoneticPr fontId="1"/>
  </si>
  <si>
    <t>ヒット</t>
  </si>
  <si>
    <t>(１ｄ６＋【判断力】)のダメージ、および目標は使用者の次Ｔ終了時まで減速状態。</t>
    <rPh sb="20" eb="22">
      <t>モクヒョウ</t>
    </rPh>
    <rPh sb="23" eb="26">
      <t>シヨウシャ</t>
    </rPh>
    <rPh sb="27" eb="28">
      <t>ツギ</t>
    </rPh>
    <rPh sb="29" eb="32">
      <t>シュウリョウジ</t>
    </rPh>
    <rPh sb="34" eb="36">
      <t>ゲンソク</t>
    </rPh>
    <rPh sb="36" eb="38">
      <t>ジョウタイ</t>
    </rPh>
    <phoneticPr fontId="1"/>
  </si>
  <si>
    <t>爆発の範囲内の味方すべてを(１＋【知力】)に等しい値のマス目だけ横滑り。</t>
    <rPh sb="0" eb="2">
      <t>バクハツ</t>
    </rPh>
    <rPh sb="3" eb="6">
      <t>ハンイナイ</t>
    </rPh>
    <rPh sb="7" eb="9">
      <t>ミカタ</t>
    </rPh>
    <rPh sb="17" eb="19">
      <t>チリョク</t>
    </rPh>
    <rPh sb="22" eb="23">
      <t>ヒト</t>
    </rPh>
    <rPh sb="25" eb="26">
      <t>アタイ</t>
    </rPh>
    <rPh sb="29" eb="30">
      <t>メ</t>
    </rPh>
    <rPh sb="32" eb="34">
      <t>ヨコスベ</t>
    </rPh>
    <phoneticPr fontId="1"/>
  </si>
  <si>
    <t>エンジェリック・プロテクター</t>
    <phoneticPr fontId="1"/>
  </si>
  <si>
    <t>インヴォーカー/攻撃/１　(Dragon383 32)</t>
    <phoneticPr fontId="1"/>
  </si>
  <si>
    <t>[一日毎]◆［召喚］［信仰］［装具］</t>
    <phoneticPr fontId="1"/>
  </si>
  <si>
    <t>エンジェリック・プロテクターを１体召喚する。</t>
    <rPh sb="16" eb="17">
      <t>タイ</t>
    </rPh>
    <rPh sb="17" eb="19">
      <t>ショウカン</t>
    </rPh>
    <phoneticPr fontId="1"/>
  </si>
  <si>
    <t>このエンジェルはＡＣに＋２のボーナスと移動速度６を有する。</t>
    <rPh sb="25" eb="26">
      <t>ユウ</t>
    </rPh>
    <phoneticPr fontId="1"/>
  </si>
  <si>
    <t>　標準アクション　近接１　目標はクリーチャー１体</t>
    <rPh sb="1" eb="3">
      <t>ヒョウジュン</t>
    </rPh>
    <rPh sb="9" eb="11">
      <t>キンセツ</t>
    </rPh>
    <rPh sb="13" eb="15">
      <t>モクヒョウ</t>
    </rPh>
    <rPh sb="23" eb="24">
      <t>タイ</t>
    </rPh>
    <phoneticPr fontId="1"/>
  </si>
  <si>
    <r>
      <t>　　【判】ｖｓ反応　</t>
    </r>
    <r>
      <rPr>
        <b/>
        <sz val="11"/>
        <color rgb="FFFF0000"/>
        <rFont val="ＭＳ Ｐゴシック"/>
        <family val="3"/>
        <charset val="128"/>
        <scheme val="minor"/>
      </rPr>
      <t>２ｄ１２</t>
    </r>
    <r>
      <rPr>
        <sz val="11"/>
        <rFont val="ＭＳ Ｐゴシック"/>
        <family val="3"/>
        <charset val="128"/>
        <scheme val="minor"/>
      </rPr>
      <t>＋【判】のダメージ、及び目標は使用者の次Ｔ終了時までマークされる。</t>
    </r>
    <rPh sb="3" eb="4">
      <t>ハン</t>
    </rPh>
    <rPh sb="7" eb="9">
      <t>ハンノウ</t>
    </rPh>
    <rPh sb="16" eb="17">
      <t>ハン</t>
    </rPh>
    <rPh sb="24" eb="25">
      <t>オヨ</t>
    </rPh>
    <rPh sb="26" eb="28">
      <t>モクヒョウ</t>
    </rPh>
    <rPh sb="29" eb="31">
      <t>シヨウ</t>
    </rPh>
    <rPh sb="31" eb="32">
      <t>シャ</t>
    </rPh>
    <rPh sb="33" eb="34">
      <t>ツギ</t>
    </rPh>
    <rPh sb="35" eb="38">
      <t>シュウリョウジ</t>
    </rPh>
    <phoneticPr fontId="1"/>
  </si>
  <si>
    <r>
      <t>　　【判】ｖｓ</t>
    </r>
    <r>
      <rPr>
        <b/>
        <sz val="11"/>
        <color rgb="FFFF0000"/>
        <rFont val="ＭＳ Ｐゴシック"/>
        <family val="3"/>
        <charset val="128"/>
        <scheme val="minor"/>
      </rPr>
      <t>頑健</t>
    </r>
    <r>
      <rPr>
        <sz val="11"/>
        <rFont val="ＭＳ Ｐゴシック"/>
        <family val="3"/>
        <charset val="128"/>
        <scheme val="minor"/>
      </rPr>
      <t>　目標は使用者の</t>
    </r>
    <r>
      <rPr>
        <b/>
        <sz val="11"/>
        <color rgb="FFFF0000"/>
        <rFont val="ＭＳ Ｐゴシック"/>
        <family val="3"/>
        <charset val="128"/>
        <scheme val="minor"/>
      </rPr>
      <t>次Ｔ終了時まで動けない状態</t>
    </r>
    <r>
      <rPr>
        <sz val="11"/>
        <rFont val="ＭＳ Ｐゴシック"/>
        <family val="3"/>
        <charset val="128"/>
        <scheme val="minor"/>
      </rPr>
      <t>になる。</t>
    </r>
    <rPh sb="3" eb="4">
      <t>ハン</t>
    </rPh>
    <rPh sb="7" eb="9">
      <t>ガンケン</t>
    </rPh>
    <rPh sb="24" eb="25">
      <t>ウゴ</t>
    </rPh>
    <rPh sb="28" eb="30">
      <t>ジョウタイ</t>
    </rPh>
    <phoneticPr fontId="1"/>
  </si>
  <si>
    <t>飛行が無いのは痛いが、ダメージがやたらと高い。</t>
    <rPh sb="0" eb="2">
      <t>ヒコウ</t>
    </rPh>
    <rPh sb="3" eb="4">
      <t>ナ</t>
    </rPh>
    <rPh sb="7" eb="8">
      <t>イタ</t>
    </rPh>
    <rPh sb="20" eb="21">
      <t>タカ</t>
    </rPh>
    <phoneticPr fontId="1"/>
  </si>
  <si>
    <t>長時間活躍を期待しいので、マークはすぐに上書きしてもらうのが吉。</t>
    <rPh sb="0" eb="3">
      <t>チョウジカン</t>
    </rPh>
    <rPh sb="3" eb="5">
      <t>カツヤク</t>
    </rPh>
    <rPh sb="6" eb="8">
      <t>キタイ</t>
    </rPh>
    <rPh sb="20" eb="22">
      <t>ウワガ</t>
    </rPh>
    <rPh sb="30" eb="31">
      <t>キチ</t>
    </rPh>
    <phoneticPr fontId="1"/>
  </si>
  <si>
    <t>機会攻撃による足止め効果も大きく、エンジェル・オヴ・ファイアーとは全く異なる味わいである。</t>
    <rPh sb="0" eb="2">
      <t>キカイ</t>
    </rPh>
    <rPh sb="2" eb="4">
      <t>コウゲキ</t>
    </rPh>
    <rPh sb="7" eb="8">
      <t>アシ</t>
    </rPh>
    <rPh sb="8" eb="9">
      <t>ド</t>
    </rPh>
    <rPh sb="10" eb="12">
      <t>コウカ</t>
    </rPh>
    <rPh sb="13" eb="14">
      <t>オオ</t>
    </rPh>
    <rPh sb="33" eb="34">
      <t>マッタ</t>
    </rPh>
    <rPh sb="35" eb="36">
      <t>コト</t>
    </rPh>
    <rPh sb="38" eb="39">
      <t>アジ</t>
    </rPh>
    <phoneticPr fontId="1"/>
  </si>
  <si>
    <t>ビミョーなラインではダメ元で宣言か？</t>
    <rPh sb="12" eb="13">
      <t>モト</t>
    </rPh>
    <rPh sb="14" eb="16">
      <t>センゲン</t>
    </rPh>
    <phoneticPr fontId="1"/>
  </si>
  <si>
    <t>セーヴで使うのが無難な気もする・・・。</t>
    <rPh sb="4" eb="5">
      <t>ツカ</t>
    </rPh>
    <rPh sb="8" eb="10">
      <t>ブナン</t>
    </rPh>
    <rPh sb="11" eb="12">
      <t>キ</t>
    </rPh>
    <phoneticPr fontId="1"/>
  </si>
  <si>
    <t>技能遭遇でも効果があるので、優秀なのは事実。</t>
    <rPh sb="0" eb="2">
      <t>ギノウ</t>
    </rPh>
    <rPh sb="2" eb="4">
      <t>ソウグウ</t>
    </rPh>
    <rPh sb="6" eb="8">
      <t>コウカ</t>
    </rPh>
    <rPh sb="14" eb="16">
      <t>ユウシュウ</t>
    </rPh>
    <rPh sb="19" eb="21">
      <t>ジジツ</t>
    </rPh>
    <phoneticPr fontId="1"/>
  </si>
  <si>
    <t>①効果的に使うには移動アクション必須</t>
    <rPh sb="1" eb="4">
      <t>コウカテキ</t>
    </rPh>
    <rPh sb="5" eb="6">
      <t>ツカ</t>
    </rPh>
    <rPh sb="9" eb="11">
      <t>イドウ</t>
    </rPh>
    <rPh sb="16" eb="18">
      <t>ヒッス</t>
    </rPh>
    <phoneticPr fontId="1"/>
  </si>
  <si>
    <t>　　横滑りではなく引き寄せなので、</t>
    <rPh sb="2" eb="4">
      <t>ヨコスベ</t>
    </rPh>
    <rPh sb="9" eb="10">
      <t>ヒ</t>
    </rPh>
    <rPh sb="11" eb="12">
      <t>ヨ</t>
    </rPh>
    <phoneticPr fontId="1"/>
  </si>
  <si>
    <t>　　自分と味方との相対的な位置関係が全てを決める！</t>
    <rPh sb="2" eb="4">
      <t>ジブン</t>
    </rPh>
    <rPh sb="5" eb="7">
      <t>ミカタ</t>
    </rPh>
    <rPh sb="9" eb="12">
      <t>ソウタイテキ</t>
    </rPh>
    <rPh sb="13" eb="15">
      <t>イチ</t>
    </rPh>
    <rPh sb="15" eb="17">
      <t>カンケイ</t>
    </rPh>
    <rPh sb="18" eb="19">
      <t>スベ</t>
    </rPh>
    <rPh sb="21" eb="22">
      <t>キ</t>
    </rPh>
    <phoneticPr fontId="1"/>
  </si>
  <si>
    <t>　　マイナーアクションじゃなかったらとてもじゃないが、実用レベルとは呼べない代物だった・・・。</t>
    <rPh sb="27" eb="29">
      <t>ジツヨウ</t>
    </rPh>
    <rPh sb="34" eb="35">
      <t>ヨ</t>
    </rPh>
    <rPh sb="38" eb="40">
      <t>シロモノ</t>
    </rPh>
    <phoneticPr fontId="1"/>
  </si>
  <si>
    <t>②遭遇毎を使い切った後のただでは転ばぬトリガー</t>
    <rPh sb="1" eb="3">
      <t>ソウグウ</t>
    </rPh>
    <rPh sb="3" eb="4">
      <t>マイ</t>
    </rPh>
    <rPh sb="5" eb="6">
      <t>ツカ</t>
    </rPh>
    <rPh sb="7" eb="8">
      <t>キ</t>
    </rPh>
    <rPh sb="10" eb="11">
      <t>アト</t>
    </rPh>
    <rPh sb="16" eb="17">
      <t>コロ</t>
    </rPh>
    <phoneticPr fontId="1"/>
  </si>
  <si>
    <t>　　遭遇終盤に余っていても使い道があるのは大きい。</t>
    <rPh sb="2" eb="6">
      <t>ソウグウシュウバン</t>
    </rPh>
    <rPh sb="7" eb="8">
      <t>アマ</t>
    </rPh>
    <rPh sb="13" eb="14">
      <t>ツカ</t>
    </rPh>
    <rPh sb="15" eb="16">
      <t>ミチ</t>
    </rPh>
    <rPh sb="21" eb="22">
      <t>オオ</t>
    </rPh>
    <phoneticPr fontId="1"/>
  </si>
  <si>
    <t>①射程がやたらと短い</t>
    <rPh sb="1" eb="3">
      <t>シャテイ</t>
    </rPh>
    <rPh sb="8" eb="9">
      <t>ミジカ</t>
    </rPh>
    <phoneticPr fontId="1"/>
  </si>
  <si>
    <t>②早抜きが無いと咄嗟に使用不可能</t>
    <rPh sb="1" eb="2">
      <t>ハヤ</t>
    </rPh>
    <rPh sb="2" eb="3">
      <t>ヌ</t>
    </rPh>
    <rPh sb="5" eb="6">
      <t>ナ</t>
    </rPh>
    <rPh sb="8" eb="10">
      <t>トッサ</t>
    </rPh>
    <rPh sb="11" eb="13">
      <t>シヨウ</t>
    </rPh>
    <rPh sb="13" eb="16">
      <t>フカノウ</t>
    </rPh>
    <phoneticPr fontId="1"/>
  </si>
  <si>
    <t>③片手を空ける必要アリ</t>
    <rPh sb="1" eb="3">
      <t>カタテ</t>
    </rPh>
    <rPh sb="4" eb="5">
      <t>ア</t>
    </rPh>
    <rPh sb="7" eb="9">
      <t>ヒツヨウ</t>
    </rPh>
    <phoneticPr fontId="1"/>
  </si>
  <si>
    <t>以上の点から、</t>
    <rPh sb="0" eb="2">
      <t>イジョウ</t>
    </rPh>
    <rPh sb="3" eb="4">
      <t>テン</t>
    </rPh>
    <phoneticPr fontId="1"/>
  </si>
  <si>
    <t>実戦レベルで使用可能なのはオテギヌのみ。</t>
    <rPh sb="0" eb="2">
      <t>ジッセン</t>
    </rPh>
    <rPh sb="6" eb="8">
      <t>シヨウ</t>
    </rPh>
    <rPh sb="8" eb="10">
      <t>カノウ</t>
    </rPh>
    <phoneticPr fontId="1"/>
  </si>
  <si>
    <t>チョロＱの合間に投げる事で射程の短さをカバーできるが、</t>
    <rPh sb="5" eb="7">
      <t>アイマ</t>
    </rPh>
    <rPh sb="8" eb="9">
      <t>ナ</t>
    </rPh>
    <rPh sb="11" eb="12">
      <t>コト</t>
    </rPh>
    <rPh sb="13" eb="15">
      <t>シャテイ</t>
    </rPh>
    <rPh sb="16" eb="17">
      <t>ミジカ</t>
    </rPh>
    <phoneticPr fontId="1"/>
  </si>
  <si>
    <t>マイナーは何かと必要なので</t>
    <rPh sb="5" eb="6">
      <t>ナニ</t>
    </rPh>
    <rPh sb="8" eb="10">
      <t>ヒツヨウ</t>
    </rPh>
    <phoneticPr fontId="1"/>
  </si>
  <si>
    <t>結局、あまり有効とは言えない。</t>
    <rPh sb="0" eb="2">
      <t>ケッキョク</t>
    </rPh>
    <rPh sb="6" eb="8">
      <t>ユウコウ</t>
    </rPh>
    <rPh sb="10" eb="11">
      <t>イ</t>
    </rPh>
    <phoneticPr fontId="1"/>
  </si>
  <si>
    <t>一時間先までのみである事と報酬を基準に判断する事をＧＭに告知する必要アリ！</t>
    <rPh sb="0" eb="2">
      <t>イチジ</t>
    </rPh>
    <rPh sb="2" eb="3">
      <t>カン</t>
    </rPh>
    <rPh sb="3" eb="4">
      <t>サキ</t>
    </rPh>
    <rPh sb="11" eb="12">
      <t>コト</t>
    </rPh>
    <rPh sb="13" eb="15">
      <t>ホウシュウ</t>
    </rPh>
    <rPh sb="16" eb="18">
      <t>キジュン</t>
    </rPh>
    <rPh sb="19" eb="21">
      <t>ハンダン</t>
    </rPh>
    <rPh sb="23" eb="24">
      <t>コト</t>
    </rPh>
    <rPh sb="28" eb="30">
      <t>コクチ</t>
    </rPh>
    <rPh sb="32" eb="34">
      <t>ヒツヨウ</t>
    </rPh>
    <phoneticPr fontId="1"/>
  </si>
  <si>
    <t>細かい判定とか面倒なので、一切考慮しない。</t>
    <rPh sb="0" eb="1">
      <t>コマ</t>
    </rPh>
    <rPh sb="3" eb="5">
      <t>ハンテイ</t>
    </rPh>
    <rPh sb="7" eb="9">
      <t>メンドウ</t>
    </rPh>
    <rPh sb="13" eb="15">
      <t>イッサイ</t>
    </rPh>
    <rPh sb="15" eb="17">
      <t>コウリョ</t>
    </rPh>
    <phoneticPr fontId="1"/>
  </si>
  <si>
    <t>万が一、失敗したら味方の強制移動パワーをアテにする・・・。</t>
    <rPh sb="0" eb="1">
      <t>マン</t>
    </rPh>
    <rPh sb="2" eb="3">
      <t>イチ</t>
    </rPh>
    <rPh sb="4" eb="6">
      <t>シッパイ</t>
    </rPh>
    <rPh sb="9" eb="11">
      <t>ミカタ</t>
    </rPh>
    <rPh sb="12" eb="14">
      <t>キョウセイ</t>
    </rPh>
    <rPh sb="14" eb="16">
      <t>イドウ</t>
    </rPh>
    <phoneticPr fontId="1"/>
  </si>
  <si>
    <t>５ダメージではなく、伏せが効果のメイン。</t>
    <rPh sb="10" eb="11">
      <t>フ</t>
    </rPh>
    <rPh sb="13" eb="15">
      <t>コウカ</t>
    </rPh>
    <phoneticPr fontId="1"/>
  </si>
  <si>
    <t>パワー・ストライクとタイミングをずらさないと勿体無い・・・。</t>
    <rPh sb="22" eb="25">
      <t>モッタイナ</t>
    </rPh>
    <phoneticPr fontId="1"/>
  </si>
  <si>
    <t>何とかして上手く使うしかない。</t>
    <rPh sb="0" eb="1">
      <t>ナン</t>
    </rPh>
    <rPh sb="5" eb="7">
      <t>ウマ</t>
    </rPh>
    <rPh sb="8" eb="9">
      <t>ツカ</t>
    </rPh>
    <phoneticPr fontId="1"/>
  </si>
  <si>
    <t>秘儀！　伏せ幻惑ハメ</t>
    <rPh sb="0" eb="2">
      <t>ヒギ</t>
    </rPh>
    <rPh sb="4" eb="5">
      <t>フ</t>
    </rPh>
    <rPh sb="6" eb="8">
      <t>ゲンワク</t>
    </rPh>
    <phoneticPr fontId="1"/>
  </si>
  <si>
    <t>①伏せ状態の敵を前衛の２マス先まで離す</t>
    <rPh sb="1" eb="2">
      <t>フ</t>
    </rPh>
    <rPh sb="3" eb="5">
      <t>ジョウタイ</t>
    </rPh>
    <rPh sb="6" eb="7">
      <t>テキ</t>
    </rPh>
    <rPh sb="8" eb="10">
      <t>ゼンエイ</t>
    </rPh>
    <rPh sb="14" eb="15">
      <t>サキ</t>
    </rPh>
    <rPh sb="17" eb="18">
      <t>ハナ</t>
    </rPh>
    <phoneticPr fontId="1"/>
  </si>
  <si>
    <t>　　突撃不可能なので、敵が間合いも遠隔も持っていないと１ターン休み。</t>
    <rPh sb="2" eb="4">
      <t>トツゲキ</t>
    </rPh>
    <rPh sb="4" eb="7">
      <t>フカノウ</t>
    </rPh>
    <rPh sb="11" eb="12">
      <t>テキ</t>
    </rPh>
    <rPh sb="13" eb="15">
      <t>マア</t>
    </rPh>
    <rPh sb="17" eb="19">
      <t>エンカク</t>
    </rPh>
    <rPh sb="20" eb="21">
      <t>モ</t>
    </rPh>
    <rPh sb="31" eb="32">
      <t>ヤス</t>
    </rPh>
    <phoneticPr fontId="1"/>
  </si>
  <si>
    <t>③伏せかつ幻惑状態の敵を前衛の２マス先まで離す</t>
    <rPh sb="1" eb="2">
      <t>フ</t>
    </rPh>
    <rPh sb="5" eb="7">
      <t>ゲンワク</t>
    </rPh>
    <rPh sb="7" eb="9">
      <t>ジョウタイ</t>
    </rPh>
    <rPh sb="10" eb="11">
      <t>テキ</t>
    </rPh>
    <rPh sb="12" eb="14">
      <t>ゼンエイ</t>
    </rPh>
    <rPh sb="18" eb="19">
      <t>サキ</t>
    </rPh>
    <rPh sb="21" eb="22">
      <t>ハナ</t>
    </rPh>
    <phoneticPr fontId="1"/>
  </si>
  <si>
    <t>　　起き上がり不可能なので、敵が間合いも遠隔も持っていないと１ターン、下手すりゃ２ターン休み。</t>
    <rPh sb="2" eb="3">
      <t>オ</t>
    </rPh>
    <rPh sb="4" eb="5">
      <t>ア</t>
    </rPh>
    <rPh sb="7" eb="10">
      <t>フカノウ</t>
    </rPh>
    <rPh sb="14" eb="15">
      <t>テキ</t>
    </rPh>
    <rPh sb="16" eb="18">
      <t>マア</t>
    </rPh>
    <rPh sb="20" eb="22">
      <t>エンカク</t>
    </rPh>
    <rPh sb="23" eb="24">
      <t>モ</t>
    </rPh>
    <rPh sb="35" eb="37">
      <t>ヘタ</t>
    </rPh>
    <rPh sb="44" eb="45">
      <t>ヤス</t>
    </rPh>
    <phoneticPr fontId="1"/>
  </si>
  <si>
    <t>Lv</t>
    <phoneticPr fontId="1"/>
  </si>
  <si>
    <t>インヴォーカー/攻撃/７　(信35)</t>
    <phoneticPr fontId="1"/>
  </si>
  <si>
    <t>[遭遇毎]◆［信仰］［装具］</t>
    <phoneticPr fontId="1"/>
  </si>
  <si>
    <t>タイド・オヴ・ザ・ファースト・ストーム</t>
    <phoneticPr fontId="1"/>
  </si>
  <si>
    <t>④ただでは転ばぬトリガー</t>
    <rPh sb="5" eb="6">
      <t>コロ</t>
    </rPh>
    <phoneticPr fontId="1"/>
  </si>
  <si>
    <t>本当は対頑健である点も残念だが、恐らく伝説級でも普通に活躍しそうである・・・。</t>
    <rPh sb="0" eb="2">
      <t>ホントウ</t>
    </rPh>
    <rPh sb="3" eb="4">
      <t>タイ</t>
    </rPh>
    <rPh sb="4" eb="6">
      <t>ガンケン</t>
    </rPh>
    <rPh sb="9" eb="10">
      <t>テン</t>
    </rPh>
    <rPh sb="11" eb="13">
      <t>ザンネン</t>
    </rPh>
    <rPh sb="16" eb="17">
      <t>オソ</t>
    </rPh>
    <rPh sb="19" eb="21">
      <t>デンセツ</t>
    </rPh>
    <rPh sb="21" eb="22">
      <t>キュウ</t>
    </rPh>
    <rPh sb="24" eb="26">
      <t>フツウ</t>
    </rPh>
    <rPh sb="27" eb="29">
      <t>カツヤク</t>
    </rPh>
    <phoneticPr fontId="1"/>
  </si>
  <si>
    <t>①幻惑重視</t>
    <rPh sb="1" eb="3">
      <t>ゲンワク</t>
    </rPh>
    <rPh sb="3" eb="5">
      <t>ジュウシ</t>
    </rPh>
    <phoneticPr fontId="1"/>
  </si>
  <si>
    <t>　　コッチで場をコントロールするか、それが問題だ・・・。</t>
    <rPh sb="6" eb="7">
      <t>バ</t>
    </rPh>
    <rPh sb="21" eb="23">
      <t>モンダイ</t>
    </rPh>
    <phoneticPr fontId="1"/>
  </si>
  <si>
    <t>②遭遇終盤のダメ押し</t>
    <rPh sb="1" eb="3">
      <t>ソウグウ</t>
    </rPh>
    <rPh sb="3" eb="5">
      <t>シュウバン</t>
    </rPh>
    <rPh sb="8" eb="9">
      <t>オ</t>
    </rPh>
    <phoneticPr fontId="1"/>
  </si>
  <si>
    <t>　　安心して在庫処分可能。</t>
    <rPh sb="2" eb="4">
      <t>アンシン</t>
    </rPh>
    <rPh sb="6" eb="8">
      <t>ザイコ</t>
    </rPh>
    <rPh sb="8" eb="10">
      <t>ショブン</t>
    </rPh>
    <rPh sb="10" eb="12">
      <t>カノウ</t>
    </rPh>
    <phoneticPr fontId="1"/>
  </si>
  <si>
    <t>珍しく自分にしか効果が無いパワー。</t>
    <rPh sb="0" eb="1">
      <t>メズラ</t>
    </rPh>
    <rPh sb="3" eb="5">
      <t>ジブン</t>
    </rPh>
    <rPh sb="8" eb="10">
      <t>コウカ</t>
    </rPh>
    <rPh sb="11" eb="12">
      <t>ナ</t>
    </rPh>
    <phoneticPr fontId="1"/>
  </si>
  <si>
    <t>アンデッドが出てこない遭遇で覚えていたら使った方がマシって程度か？</t>
    <rPh sb="6" eb="7">
      <t>デ</t>
    </rPh>
    <rPh sb="11" eb="13">
      <t>ソウグウ</t>
    </rPh>
    <rPh sb="14" eb="15">
      <t>オボ</t>
    </rPh>
    <rPh sb="20" eb="21">
      <t>ツカ</t>
    </rPh>
    <rPh sb="23" eb="24">
      <t>ホウ</t>
    </rPh>
    <rPh sb="29" eb="31">
      <t>テイド</t>
    </rPh>
    <phoneticPr fontId="1"/>
  </si>
  <si>
    <t>１回ポッキリなので大した効果では無い。</t>
    <rPh sb="1" eb="2">
      <t>カイ</t>
    </rPh>
    <rPh sb="9" eb="10">
      <t>タイ</t>
    </rPh>
    <rPh sb="12" eb="14">
      <t>コウカ</t>
    </rPh>
    <rPh sb="16" eb="17">
      <t>ナ</t>
    </rPh>
    <phoneticPr fontId="1"/>
  </si>
  <si>
    <t>①最大射程が２０</t>
    <rPh sb="1" eb="3">
      <t>サイダイ</t>
    </rPh>
    <rPh sb="3" eb="5">
      <t>シャテイ</t>
    </rPh>
    <phoneticPr fontId="1"/>
  </si>
  <si>
    <t>　　ハンド・オヴ・レイディアンス同様、苦手とする要素が極端に少ないので、</t>
    <rPh sb="16" eb="18">
      <t>ドウヨウ</t>
    </rPh>
    <rPh sb="19" eb="21">
      <t>ニガテ</t>
    </rPh>
    <rPh sb="24" eb="26">
      <t>ヨウソ</t>
    </rPh>
    <rPh sb="27" eb="29">
      <t>キョクタン</t>
    </rPh>
    <rPh sb="30" eb="31">
      <t>スク</t>
    </rPh>
    <phoneticPr fontId="1"/>
  </si>
  <si>
    <t>　　障害物が多い超遠距離戦でも安心して狙撃し続けられる。</t>
    <rPh sb="2" eb="5">
      <t>ショウガイブツ</t>
    </rPh>
    <rPh sb="6" eb="7">
      <t>オオ</t>
    </rPh>
    <rPh sb="8" eb="9">
      <t>チョウ</t>
    </rPh>
    <rPh sb="9" eb="12">
      <t>エンキョリ</t>
    </rPh>
    <rPh sb="12" eb="13">
      <t>セン</t>
    </rPh>
    <rPh sb="15" eb="17">
      <t>アンシン</t>
    </rPh>
    <rPh sb="19" eb="21">
      <t>ソゲキ</t>
    </rPh>
    <rPh sb="22" eb="23">
      <t>ツヅ</t>
    </rPh>
    <phoneticPr fontId="1"/>
  </si>
  <si>
    <t>　　ピンチになったら超逃げ腰プレイに走っても全然構わず、それでも一方的に敵を嬲る事まで可能？</t>
    <rPh sb="10" eb="11">
      <t>チョウ</t>
    </rPh>
    <rPh sb="11" eb="12">
      <t>ニ</t>
    </rPh>
    <rPh sb="13" eb="14">
      <t>ゴシ</t>
    </rPh>
    <rPh sb="18" eb="19">
      <t>ハシ</t>
    </rPh>
    <rPh sb="22" eb="24">
      <t>ゼンゼン</t>
    </rPh>
    <rPh sb="24" eb="25">
      <t>カマ</t>
    </rPh>
    <rPh sb="32" eb="35">
      <t>イッポウテキ</t>
    </rPh>
    <rPh sb="36" eb="37">
      <t>テキ</t>
    </rPh>
    <rPh sb="38" eb="39">
      <t>ナブ</t>
    </rPh>
    <rPh sb="40" eb="41">
      <t>コト</t>
    </rPh>
    <rPh sb="43" eb="45">
      <t>カノウ</t>
    </rPh>
    <phoneticPr fontId="1"/>
  </si>
  <si>
    <t>　　特殊な遭遇の保険として、最大射程の長さは魅力的である。</t>
    <rPh sb="2" eb="4">
      <t>トクシュ</t>
    </rPh>
    <rPh sb="5" eb="7">
      <t>ソウグウ</t>
    </rPh>
    <rPh sb="8" eb="10">
      <t>ホケン</t>
    </rPh>
    <rPh sb="22" eb="25">
      <t>ミリョクテキ</t>
    </rPh>
    <phoneticPr fontId="1"/>
  </si>
  <si>
    <t>②遭遇中盤以降の集中攻撃に参加する時、最大限の効果を発揮</t>
    <rPh sb="1" eb="3">
      <t>ソウグウ</t>
    </rPh>
    <rPh sb="3" eb="5">
      <t>チュウバン</t>
    </rPh>
    <rPh sb="5" eb="7">
      <t>イコウ</t>
    </rPh>
    <rPh sb="8" eb="10">
      <t>シュウチュウ</t>
    </rPh>
    <rPh sb="10" eb="12">
      <t>コウゲキ</t>
    </rPh>
    <rPh sb="13" eb="15">
      <t>サンカ</t>
    </rPh>
    <rPh sb="17" eb="18">
      <t>トキ</t>
    </rPh>
    <rPh sb="19" eb="22">
      <t>サイダイゲン</t>
    </rPh>
    <rPh sb="23" eb="25">
      <t>コウカ</t>
    </rPh>
    <rPh sb="26" eb="28">
      <t>ハッキ</t>
    </rPh>
    <phoneticPr fontId="1"/>
  </si>
  <si>
    <t>　　マークの対象が倒れるまで効果を持続させるのも難しくは無い・・・。</t>
    <rPh sb="6" eb="8">
      <t>タイショウ</t>
    </rPh>
    <rPh sb="9" eb="10">
      <t>タオ</t>
    </rPh>
    <rPh sb="14" eb="16">
      <t>コウカ</t>
    </rPh>
    <rPh sb="17" eb="19">
      <t>ジゾク</t>
    </rPh>
    <rPh sb="24" eb="25">
      <t>ムズカ</t>
    </rPh>
    <rPh sb="28" eb="29">
      <t>ナ</t>
    </rPh>
    <phoneticPr fontId="1"/>
  </si>
  <si>
    <t>実質、近接爆発１０で目標最大３体のパワー！</t>
    <rPh sb="0" eb="2">
      <t>ジッシツ</t>
    </rPh>
    <rPh sb="3" eb="5">
      <t>キンセツ</t>
    </rPh>
    <rPh sb="5" eb="7">
      <t>バクハツ</t>
    </rPh>
    <rPh sb="10" eb="12">
      <t>モクヒョウ</t>
    </rPh>
    <rPh sb="12" eb="14">
      <t>サイダイ</t>
    </rPh>
    <rPh sb="15" eb="16">
      <t>タイ</t>
    </rPh>
    <phoneticPr fontId="1"/>
  </si>
  <si>
    <t>雑魚を掃除する能力がパネェ～。</t>
    <rPh sb="0" eb="2">
      <t>ザコ</t>
    </rPh>
    <rPh sb="3" eb="5">
      <t>ソウジ</t>
    </rPh>
    <rPh sb="7" eb="9">
      <t>ノウリョク</t>
    </rPh>
    <phoneticPr fontId="1"/>
  </si>
  <si>
    <t>一応、欠点をあげつらうと</t>
    <rPh sb="0" eb="2">
      <t>イチオウ</t>
    </rPh>
    <rPh sb="3" eb="5">
      <t>ケッテン</t>
    </rPh>
    <phoneticPr fontId="1"/>
  </si>
  <si>
    <t>残りの全ての攻撃パワーは、コレをどういう形でフォロー可能かを基準に選択すべし。</t>
    <rPh sb="0" eb="1">
      <t>ノコ</t>
    </rPh>
    <rPh sb="3" eb="4">
      <t>スベ</t>
    </rPh>
    <rPh sb="6" eb="8">
      <t>コウゲキ</t>
    </rPh>
    <rPh sb="20" eb="21">
      <t>カタチ</t>
    </rPh>
    <rPh sb="26" eb="28">
      <t>カノウ</t>
    </rPh>
    <rPh sb="30" eb="32">
      <t>キジュン</t>
    </rPh>
    <rPh sb="33" eb="35">
      <t>センタク</t>
    </rPh>
    <phoneticPr fontId="1"/>
  </si>
  <si>
    <t>★：熟達者のアクション(Lv11)(信仰44)</t>
    <rPh sb="2" eb="4">
      <t>ジュクタツ</t>
    </rPh>
    <rPh sb="4" eb="5">
      <t>シャ</t>
    </rPh>
    <rPh sb="18" eb="20">
      <t>シンコウ</t>
    </rPh>
    <phoneticPr fontId="1"/>
  </si>
  <si>
    <t>　　君が追加のアクションを得るためにAPを消費した際、君は[信仰]のパワーの攻撃Rに＋２のボーナスを得、</t>
    <rPh sb="2" eb="3">
      <t>キミ</t>
    </rPh>
    <rPh sb="4" eb="6">
      <t>ツイカ</t>
    </rPh>
    <rPh sb="13" eb="14">
      <t>エ</t>
    </rPh>
    <rPh sb="21" eb="23">
      <t>ショウヒ</t>
    </rPh>
    <rPh sb="25" eb="26">
      <t>サイ</t>
    </rPh>
    <rPh sb="27" eb="28">
      <t>キミ</t>
    </rPh>
    <rPh sb="30" eb="32">
      <t>シンコウ</t>
    </rPh>
    <rPh sb="38" eb="40">
      <t>コウゲキ</t>
    </rPh>
    <rPh sb="50" eb="51">
      <t>エ</t>
    </rPh>
    <phoneticPr fontId="1"/>
  </si>
  <si>
    <t>　　さらに、[信仰]のパワーの噴射または爆発の範囲を１拡大できる。これらの利益は次T開まで持続する。</t>
    <rPh sb="15" eb="17">
      <t>フンシャ</t>
    </rPh>
    <rPh sb="20" eb="22">
      <t>バクハツ</t>
    </rPh>
    <rPh sb="23" eb="25">
      <t>ハンイ</t>
    </rPh>
    <rPh sb="27" eb="29">
      <t>カクダイ</t>
    </rPh>
    <rPh sb="37" eb="39">
      <t>リエキ</t>
    </rPh>
    <rPh sb="40" eb="41">
      <t>ジ</t>
    </rPh>
    <rPh sb="42" eb="43">
      <t>カイ</t>
    </rPh>
    <rPh sb="45" eb="47">
      <t>ジゾク</t>
    </rPh>
    <phoneticPr fontId="1"/>
  </si>
  <si>
    <t>　　君が[信仰]の攻撃パワーを使用するとき、そのため行うあらゆる攻撃Rの前に大声を張り上げる事を</t>
    <rPh sb="2" eb="3">
      <t>キミ</t>
    </rPh>
    <rPh sb="5" eb="7">
      <t>シンコウ</t>
    </rPh>
    <rPh sb="9" eb="11">
      <t>コウゲキ</t>
    </rPh>
    <rPh sb="15" eb="17">
      <t>シヨウ</t>
    </rPh>
    <rPh sb="26" eb="27">
      <t>オコナ</t>
    </rPh>
    <rPh sb="32" eb="34">
      <t>コウゲキ</t>
    </rPh>
    <rPh sb="36" eb="37">
      <t>マエ</t>
    </rPh>
    <rPh sb="38" eb="40">
      <t>オオゴエ</t>
    </rPh>
    <rPh sb="41" eb="42">
      <t>ハ</t>
    </rPh>
    <rPh sb="43" eb="44">
      <t>ア</t>
    </rPh>
    <rPh sb="46" eb="47">
      <t>コト</t>
    </rPh>
    <phoneticPr fontId="1"/>
  </si>
  <si>
    <t>　　選択できる。それにより君は19～20の目で攻撃をクリティカル・ヒットにする事が可能となり、</t>
    <rPh sb="2" eb="4">
      <t>センタク</t>
    </rPh>
    <rPh sb="13" eb="14">
      <t>キミ</t>
    </rPh>
    <rPh sb="21" eb="22">
      <t>メ</t>
    </rPh>
    <rPh sb="23" eb="25">
      <t>コウゲキ</t>
    </rPh>
    <rPh sb="39" eb="40">
      <t>コト</t>
    </rPh>
    <rPh sb="41" eb="43">
      <t>カノウ</t>
    </rPh>
    <phoneticPr fontId="1"/>
  </si>
  <si>
    <t>　　目標はその攻撃の効果に対するSTに－２のペナルティを負う。一方、君も次T終まで幻惑状態となる。</t>
    <rPh sb="2" eb="4">
      <t>モクヒョウ</t>
    </rPh>
    <rPh sb="7" eb="9">
      <t>コウゲキ</t>
    </rPh>
    <rPh sb="10" eb="12">
      <t>コウカ</t>
    </rPh>
    <rPh sb="13" eb="14">
      <t>タイ</t>
    </rPh>
    <rPh sb="28" eb="29">
      <t>オ</t>
    </rPh>
    <rPh sb="31" eb="33">
      <t>イッポウ</t>
    </rPh>
    <rPh sb="34" eb="35">
      <t>キミ</t>
    </rPh>
    <rPh sb="36" eb="37">
      <t>ジ</t>
    </rPh>
    <rPh sb="38" eb="39">
      <t>シュウ</t>
    </rPh>
    <rPh sb="41" eb="43">
      <t>ゲンワク</t>
    </rPh>
    <rPh sb="43" eb="45">
      <t>ジョウタイ</t>
    </rPh>
    <phoneticPr fontId="1"/>
  </si>
  <si>
    <t>　　</t>
    <phoneticPr fontId="1"/>
  </si>
  <si>
    <t>①似非範囲攻撃：残念ながら範囲攻撃同然であって範囲攻撃では無い！（当たり前）</t>
    <rPh sb="1" eb="3">
      <t>エセ</t>
    </rPh>
    <rPh sb="3" eb="5">
      <t>ハンイ</t>
    </rPh>
    <rPh sb="5" eb="7">
      <t>コウゲキ</t>
    </rPh>
    <phoneticPr fontId="1"/>
  </si>
  <si>
    <t>③大群：コレに対してもほぼ無力だが、これまたある程度は遭遇毎や召喚でフォロー可能。</t>
    <rPh sb="1" eb="3">
      <t>タイグン</t>
    </rPh>
    <phoneticPr fontId="1"/>
  </si>
  <si>
    <t>アデプト・オヴ・ウィスパーズ/攻撃/１１　(信44)</t>
    <phoneticPr fontId="1"/>
  </si>
  <si>
    <r>
      <t>(３ｄ６＋【判断力】)のダメージ、および使用者は目標を</t>
    </r>
    <r>
      <rPr>
        <b/>
        <sz val="11"/>
        <color rgb="FFFF0000"/>
        <rFont val="ＭＳ Ｐゴシック"/>
        <family val="3"/>
        <charset val="128"/>
        <scheme val="minor"/>
      </rPr>
      <t>２マス押しやる</t>
    </r>
    <r>
      <rPr>
        <sz val="11"/>
        <rFont val="ＭＳ Ｐゴシック"/>
        <family val="3"/>
        <charset val="128"/>
        <scheme val="minor"/>
      </rPr>
      <t>。</t>
    </r>
    <rPh sb="20" eb="23">
      <t>シヨウシャ</t>
    </rPh>
    <rPh sb="24" eb="26">
      <t>モクヒョウ</t>
    </rPh>
    <rPh sb="30" eb="31">
      <t>オ</t>
    </rPh>
    <phoneticPr fontId="1"/>
  </si>
  <si>
    <r>
      <t>目標は使用者の</t>
    </r>
    <r>
      <rPr>
        <b/>
        <sz val="11"/>
        <color rgb="FFFF0000"/>
        <rFont val="ＭＳ Ｐゴシック"/>
        <family val="3"/>
        <charset val="128"/>
        <scheme val="minor"/>
      </rPr>
      <t>次T終</t>
    </r>
    <r>
      <rPr>
        <sz val="11"/>
        <rFont val="ＭＳ Ｐゴシック"/>
        <family val="3"/>
        <charset val="128"/>
        <scheme val="minor"/>
      </rPr>
      <t>まで</t>
    </r>
    <r>
      <rPr>
        <b/>
        <sz val="11"/>
        <color rgb="FFFF0000"/>
        <rFont val="ＭＳ Ｐゴシック"/>
        <family val="3"/>
        <charset val="128"/>
        <scheme val="minor"/>
      </rPr>
      <t>聴覚喪失状態</t>
    </r>
    <r>
      <rPr>
        <sz val="11"/>
        <rFont val="ＭＳ Ｐゴシック"/>
        <family val="3"/>
        <charset val="128"/>
        <scheme val="minor"/>
      </rPr>
      <t>になる。</t>
    </r>
    <rPh sb="0" eb="2">
      <t>モクヒョウ</t>
    </rPh>
    <rPh sb="3" eb="5">
      <t>シヨウ</t>
    </rPh>
    <rPh sb="5" eb="6">
      <t>シャ</t>
    </rPh>
    <rPh sb="7" eb="8">
      <t>ジ</t>
    </rPh>
    <rPh sb="9" eb="10">
      <t>シュウ</t>
    </rPh>
    <rPh sb="12" eb="14">
      <t>チョウカク</t>
    </rPh>
    <rPh sb="14" eb="16">
      <t>ソウシツ</t>
    </rPh>
    <rPh sb="16" eb="18">
      <t>ジョウタイ</t>
    </rPh>
    <phoneticPr fontId="1"/>
  </si>
  <si>
    <r>
      <t>もし、目標が</t>
    </r>
    <r>
      <rPr>
        <b/>
        <sz val="11"/>
        <color rgb="FFFF0000"/>
        <rFont val="ＭＳ Ｐゴシック"/>
        <family val="3"/>
        <charset val="128"/>
        <scheme val="minor"/>
      </rPr>
      <t>”重傷”の味方に隣接</t>
    </r>
    <r>
      <rPr>
        <sz val="11"/>
        <rFont val="ＭＳ Ｐゴシック"/>
        <family val="3"/>
        <charset val="128"/>
        <scheme val="minor"/>
      </rPr>
      <t>していた場合、</t>
    </r>
    <rPh sb="3" eb="5">
      <t>モクヒョウ</t>
    </rPh>
    <rPh sb="7" eb="9">
      <t>ジュウショウ</t>
    </rPh>
    <rPh sb="11" eb="13">
      <t>ミカタ</t>
    </rPh>
    <rPh sb="14" eb="16">
      <t>リンセツ</t>
    </rPh>
    <rPh sb="20" eb="22">
      <t>バアイ</t>
    </rPh>
    <phoneticPr fontId="1"/>
  </si>
  <si>
    <r>
      <t>目標はさらに使用者の次T終まで</t>
    </r>
    <r>
      <rPr>
        <b/>
        <sz val="11"/>
        <color rgb="FFFF0000"/>
        <rFont val="ＭＳ Ｐゴシック"/>
        <family val="3"/>
        <charset val="128"/>
        <scheme val="minor"/>
      </rPr>
      <t>幻惑状態</t>
    </r>
    <r>
      <rPr>
        <sz val="11"/>
        <rFont val="ＭＳ Ｐゴシック"/>
        <family val="3"/>
        <charset val="128"/>
        <scheme val="minor"/>
      </rPr>
      <t>になる。</t>
    </r>
    <rPh sb="0" eb="2">
      <t>モクヒョウ</t>
    </rPh>
    <rPh sb="6" eb="8">
      <t>シヨウ</t>
    </rPh>
    <rPh sb="8" eb="9">
      <t>シャ</t>
    </rPh>
    <rPh sb="10" eb="11">
      <t>ジ</t>
    </rPh>
    <rPh sb="12" eb="13">
      <t>シュウ</t>
    </rPh>
    <rPh sb="15" eb="17">
      <t>ゲンワク</t>
    </rPh>
    <rPh sb="17" eb="19">
      <t>ジョウタイ</t>
    </rPh>
    <phoneticPr fontId="1"/>
  </si>
  <si>
    <t>アデプト・オヴ・ウィスパーズ/汎用/１２　(信44)</t>
    <rPh sb="15" eb="17">
      <t>ハンヨウ</t>
    </rPh>
    <phoneticPr fontId="1"/>
  </si>
  <si>
    <t>[一日毎]◆[回復][信仰]</t>
    <rPh sb="1" eb="3">
      <t>イチニチ</t>
    </rPh>
    <rPh sb="3" eb="4">
      <t>ゴト</t>
    </rPh>
    <rPh sb="7" eb="9">
      <t>カイフク</t>
    </rPh>
    <phoneticPr fontId="1"/>
  </si>
  <si>
    <t>味方１体</t>
    <rPh sb="0" eb="2">
      <t>ミカタ</t>
    </rPh>
    <rPh sb="3" eb="4">
      <t>タイ</t>
    </rPh>
    <phoneticPr fontId="1"/>
  </si>
  <si>
    <t>さらにST１回を行う事ができる。</t>
    <rPh sb="5" eb="6">
      <t>カイ</t>
    </rPh>
    <rPh sb="7" eb="8">
      <t>オコナ</t>
    </rPh>
    <rPh sb="9" eb="10">
      <t>コト</t>
    </rPh>
    <phoneticPr fontId="1"/>
  </si>
  <si>
    <t>アデプト・オヴ・ウィスパーズ/攻撃/20　(信44)</t>
    <phoneticPr fontId="1"/>
  </si>
  <si>
    <t>[一日毎]◆［信仰］［装具］</t>
    <rPh sb="1" eb="3">
      <t>イチニチ</t>
    </rPh>
    <phoneticPr fontId="1"/>
  </si>
  <si>
    <t>(３ｄ８＋【判断力】)のダメージ、および使用者は</t>
    <rPh sb="20" eb="23">
      <t>シヨウシャ</t>
    </rPh>
    <phoneticPr fontId="1"/>
  </si>
  <si>
    <t>目標は継続的ダメージ１０を被り、弱体化状態になる。(ST両終)</t>
    <rPh sb="0" eb="2">
      <t>モクヒョウ</t>
    </rPh>
    <rPh sb="3" eb="6">
      <t>ケイゾクテキ</t>
    </rPh>
    <rPh sb="13" eb="14">
      <t>コウム</t>
    </rPh>
    <rPh sb="16" eb="19">
      <t>ジャクタイカ</t>
    </rPh>
    <rPh sb="19" eb="21">
      <t>ジョウタイ</t>
    </rPh>
    <rPh sb="28" eb="29">
      <t>リョウ</t>
    </rPh>
    <rPh sb="29" eb="30">
      <t>シュウ</t>
    </rPh>
    <phoneticPr fontId="1"/>
  </si>
  <si>
    <t>ミス</t>
    <phoneticPr fontId="1"/>
  </si>
  <si>
    <t>半減ダメージ</t>
    <rPh sb="0" eb="2">
      <t>ハンゲン</t>
    </rPh>
    <phoneticPr fontId="1"/>
  </si>
  <si>
    <t>ウィスパー・オヴ・ドゥーム</t>
    <phoneticPr fontId="1"/>
  </si>
  <si>
    <t>レストレイティヴ・ワード</t>
    <phoneticPr fontId="1"/>
  </si>
  <si>
    <t>アイテム</t>
    <phoneticPr fontId="1"/>
  </si>
  <si>
    <t>アイテム/攻撃/　(モ86)</t>
    <rPh sb="5" eb="7">
      <t>コウゲキ</t>
    </rPh>
    <phoneticPr fontId="1"/>
  </si>
  <si>
    <t>[遭遇毎]</t>
    <phoneticPr fontId="1"/>
  </si>
  <si>
    <t>この武器のLv＋３対"頑健"</t>
    <rPh sb="2" eb="4">
      <t>ブキ</t>
    </rPh>
    <rPh sb="9" eb="10">
      <t>タイ</t>
    </rPh>
    <rPh sb="11" eb="13">
      <t>ガンケン</t>
    </rPh>
    <phoneticPr fontId="1"/>
  </si>
  <si>
    <t>2マス横滑り</t>
    <rPh sb="3" eb="5">
      <t>ヨコスベ</t>
    </rPh>
    <phoneticPr fontId="1"/>
  </si>
  <si>
    <t>アイテム</t>
    <phoneticPr fontId="1"/>
  </si>
  <si>
    <t>アイテム/攻撃/１４　(モ25)</t>
    <phoneticPr fontId="1"/>
  </si>
  <si>
    <t>[無限回]</t>
    <rPh sb="1" eb="3">
      <t>ムゲン</t>
    </rPh>
    <rPh sb="3" eb="4">
      <t>カイ</t>
    </rPh>
    <phoneticPr fontId="1"/>
  </si>
  <si>
    <r>
      <t>範囲内の</t>
    </r>
    <r>
      <rPr>
        <b/>
        <sz val="11"/>
        <color rgb="FFFF0000"/>
        <rFont val="ＭＳ Ｐゴシック"/>
        <family val="3"/>
        <charset val="128"/>
        <scheme val="minor"/>
      </rPr>
      <t>味方１体</t>
    </r>
    <rPh sb="0" eb="3">
      <t>ハンイナイ</t>
    </rPh>
    <rPh sb="4" eb="6">
      <t>ミカタ</t>
    </rPh>
    <rPh sb="7" eb="8">
      <t>タイ</t>
    </rPh>
    <phoneticPr fontId="1"/>
  </si>
  <si>
    <r>
      <t>使用者は目標を</t>
    </r>
    <r>
      <rPr>
        <b/>
        <sz val="11"/>
        <color rgb="FFFF0000"/>
        <rFont val="ＭＳ Ｐゴシック"/>
        <family val="3"/>
        <charset val="128"/>
        <scheme val="minor"/>
      </rPr>
      <t>2マスまで横滑り</t>
    </r>
    <r>
      <rPr>
        <sz val="11"/>
        <color theme="1"/>
        <rFont val="ＭＳ Ｐゴシック"/>
        <family val="2"/>
        <charset val="128"/>
        <scheme val="minor"/>
      </rPr>
      <t>させる。</t>
    </r>
    <rPh sb="0" eb="2">
      <t>シヨウ</t>
    </rPh>
    <rPh sb="2" eb="3">
      <t>シャ</t>
    </rPh>
    <rPh sb="4" eb="6">
      <t>モクヒョウ</t>
    </rPh>
    <rPh sb="12" eb="14">
      <t>ヨコスベ</t>
    </rPh>
    <phoneticPr fontId="1"/>
  </si>
  <si>
    <r>
      <t>使用者は目標を</t>
    </r>
    <r>
      <rPr>
        <b/>
        <sz val="11"/>
        <color rgb="FFFF0000"/>
        <rFont val="ＭＳ Ｐゴシック"/>
        <family val="3"/>
        <charset val="128"/>
        <scheme val="minor"/>
      </rPr>
      <t>2マスまで横滑り</t>
    </r>
    <r>
      <rPr>
        <sz val="11"/>
        <rFont val="ＭＳ Ｐゴシック"/>
        <family val="3"/>
        <charset val="128"/>
        <scheme val="minor"/>
      </rPr>
      <t>させる。</t>
    </r>
    <rPh sb="0" eb="2">
      <t>シヨウ</t>
    </rPh>
    <rPh sb="2" eb="3">
      <t>シャ</t>
    </rPh>
    <rPh sb="4" eb="6">
      <t>モクヒョウ</t>
    </rPh>
    <rPh sb="12" eb="14">
      <t>ヨコスベ</t>
    </rPh>
    <phoneticPr fontId="1"/>
  </si>
  <si>
    <t>インヴォーカー/アデプト・オヴ・ウィスパーズ</t>
    <phoneticPr fontId="1"/>
  </si>
  <si>
    <t>スタッフ</t>
    <phoneticPr fontId="1"/>
  </si>
  <si>
    <t>イーライ　　ＡＰ</t>
    <phoneticPr fontId="1"/>
  </si>
  <si>
    <t>伏せ</t>
    <rPh sb="0" eb="1">
      <t>フ</t>
    </rPh>
    <phoneticPr fontId="1"/>
  </si>
  <si>
    <t>ゼファーオーラ１</t>
    <phoneticPr fontId="1"/>
  </si>
  <si>
    <t>ゼファー　オーラ１</t>
    <phoneticPr fontId="1"/>
  </si>
  <si>
    <r>
      <t>　　それを行う事を理由にした</t>
    </r>
    <r>
      <rPr>
        <b/>
        <sz val="11"/>
        <color rgb="FFFF0000"/>
        <rFont val="ＭＳ Ｐゴシック"/>
        <family val="3"/>
        <charset val="128"/>
        <scheme val="minor"/>
      </rPr>
      <t>機会攻撃を誘発しない</t>
    </r>
    <r>
      <rPr>
        <sz val="11"/>
        <color theme="1"/>
        <rFont val="ＭＳ Ｐゴシック"/>
        <family val="3"/>
        <charset val="128"/>
        <scheme val="minor"/>
      </rPr>
      <t>。</t>
    </r>
    <rPh sb="5" eb="6">
      <t>オコナ</t>
    </rPh>
    <rPh sb="7" eb="8">
      <t>コト</t>
    </rPh>
    <rPh sb="9" eb="11">
      <t>リユウ</t>
    </rPh>
    <rPh sb="14" eb="16">
      <t>キカイ</t>
    </rPh>
    <rPh sb="16" eb="18">
      <t>コウゲキ</t>
    </rPh>
    <rPh sb="19" eb="21">
      <t>ユウハツ</t>
    </rPh>
    <phoneticPr fontId="1"/>
  </si>
  <si>
    <t>スミスの各種コンセプト PICK UP！</t>
    <rPh sb="4" eb="5">
      <t>カク</t>
    </rPh>
    <rPh sb="5" eb="6">
      <t>タネ</t>
    </rPh>
    <phoneticPr fontId="1"/>
  </si>
  <si>
    <t>ＷＡＰ</t>
    <phoneticPr fontId="1"/>
  </si>
  <si>
    <t>スミス　　　ＡＰ</t>
    <phoneticPr fontId="1"/>
  </si>
  <si>
    <t>5 ( or 6 )</t>
    <phoneticPr fontId="1"/>
  </si>
  <si>
    <t>1 ( or 2 )</t>
    <phoneticPr fontId="1"/>
  </si>
  <si>
    <t>2 ( or 3 )</t>
    <phoneticPr fontId="1"/>
  </si>
  <si>
    <t>機会攻撃</t>
    <rPh sb="0" eb="2">
      <t>キカイ</t>
    </rPh>
    <rPh sb="2" eb="4">
      <t>コウゲキ</t>
    </rPh>
    <phoneticPr fontId="26"/>
  </si>
  <si>
    <t>突撃</t>
    <rPh sb="0" eb="2">
      <t>トツゲキ</t>
    </rPh>
    <phoneticPr fontId="26"/>
  </si>
  <si>
    <t>イーライ　　ＡＰ</t>
    <phoneticPr fontId="1"/>
  </si>
  <si>
    <t>使用者は1体の”フレイム・ゼファー”を、射程内の何ものにも占められてていない場所に</t>
    <rPh sb="0" eb="2">
      <t>シヨウ</t>
    </rPh>
    <rPh sb="2" eb="3">
      <t>シャ</t>
    </rPh>
    <rPh sb="5" eb="6">
      <t>タイ</t>
    </rPh>
    <rPh sb="20" eb="22">
      <t>シャテイ</t>
    </rPh>
    <rPh sb="22" eb="23">
      <t>ナイ</t>
    </rPh>
    <rPh sb="24" eb="25">
      <t>ナニ</t>
    </rPh>
    <rPh sb="29" eb="30">
      <t>シ</t>
    </rPh>
    <rPh sb="38" eb="40">
      <t>バショ</t>
    </rPh>
    <phoneticPr fontId="1"/>
  </si>
  <si>
    <t>召喚する。</t>
    <phoneticPr fontId="1"/>
  </si>
  <si>
    <t>★：保護の誓約(PHⅡ49)</t>
    <rPh sb="2" eb="4">
      <t>ホゴ</t>
    </rPh>
    <phoneticPr fontId="1"/>
  </si>
  <si>
    <t>※保護の誓約(PHⅡ49)</t>
    <rPh sb="1" eb="3">
      <t>ホゴ</t>
    </rPh>
    <phoneticPr fontId="1"/>
  </si>
  <si>
    <t>保護の誓約：使用者がそれぞれの目標を３マスずつ瞬間移動させるマスの数は</t>
    <rPh sb="4" eb="7">
      <t>シヨウシャ</t>
    </rPh>
    <rPh sb="13" eb="15">
      <t>モクヒョウ</t>
    </rPh>
    <rPh sb="21" eb="23">
      <t>シュンカン</t>
    </rPh>
    <rPh sb="23" eb="25">
      <t>イドウ</t>
    </rPh>
    <rPh sb="31" eb="32">
      <t>カズ</t>
    </rPh>
    <phoneticPr fontId="1"/>
  </si>
  <si>
    <t>サモン・ブレード・エンジェル</t>
    <phoneticPr fontId="1"/>
  </si>
  <si>
    <t>ブレード・エンジェル</t>
    <phoneticPr fontId="26"/>
  </si>
  <si>
    <t>エンジェリック・プロテクター</t>
  </si>
  <si>
    <t>近接　基礎　攻撃</t>
    <phoneticPr fontId="1"/>
  </si>
  <si>
    <t>盲目以外の大抵の”遠隔攻撃”の弱点を克服している為、圧倒的な使い勝手を誇る！</t>
    <rPh sb="0" eb="2">
      <t>モウモク</t>
    </rPh>
    <rPh sb="5" eb="7">
      <t>タイテイ</t>
    </rPh>
    <rPh sb="9" eb="11">
      <t>エンカク</t>
    </rPh>
    <rPh sb="11" eb="13">
      <t>コウゲキ</t>
    </rPh>
    <phoneticPr fontId="1"/>
  </si>
  <si>
    <t>②盲目：完全視認困難はどうしようもないが、ある程度は召喚でフォローが可能。</t>
    <rPh sb="1" eb="3">
      <t>モウモク</t>
    </rPh>
    <phoneticPr fontId="1"/>
  </si>
  <si>
    <t>結論を言うと”主力”と呼ぶにふさわしい性能なので、</t>
    <rPh sb="0" eb="2">
      <t>ケツロン</t>
    </rPh>
    <rPh sb="3" eb="4">
      <t>イ</t>
    </rPh>
    <rPh sb="7" eb="9">
      <t>シュリョク</t>
    </rPh>
    <rPh sb="11" eb="12">
      <t>ヨ</t>
    </rPh>
    <rPh sb="19" eb="21">
      <t>セイノウ</t>
    </rPh>
    <phoneticPr fontId="1"/>
  </si>
  <si>
    <r>
      <t>攻撃Rへのペナルティは-２ではなく</t>
    </r>
    <r>
      <rPr>
        <b/>
        <sz val="11"/>
        <color rgb="FFFF0000"/>
        <rFont val="ＭＳ Ｐゴシック"/>
        <family val="3"/>
        <charset val="128"/>
        <scheme val="minor"/>
      </rPr>
      <t>-４</t>
    </r>
    <r>
      <rPr>
        <sz val="11"/>
        <rFont val="ＭＳ Ｐゴシック"/>
        <family val="3"/>
        <charset val="128"/>
        <scheme val="minor"/>
      </rPr>
      <t>となる。</t>
    </r>
    <phoneticPr fontId="1"/>
  </si>
  <si>
    <t>　　第一ターンに雑魚掃除のハンド・オヴ・レイディアンスを狙うか、</t>
    <rPh sb="2" eb="4">
      <t>ダイイチ</t>
    </rPh>
    <rPh sb="8" eb="10">
      <t>ザコ</t>
    </rPh>
    <rPh sb="10" eb="12">
      <t>ソウジ</t>
    </rPh>
    <rPh sb="28" eb="29">
      <t>ネラ</t>
    </rPh>
    <phoneticPr fontId="1"/>
  </si>
  <si>
    <t>　　単体対象でのオマケもあるので、遭遇終盤まで余ってしまっても</t>
    <rPh sb="2" eb="4">
      <t>タンタイ</t>
    </rPh>
    <rPh sb="4" eb="6">
      <t>タイショウ</t>
    </rPh>
    <rPh sb="17" eb="19">
      <t>ソウグウ</t>
    </rPh>
    <rPh sb="19" eb="21">
      <t>シュウバン</t>
    </rPh>
    <rPh sb="23" eb="24">
      <t>アマ</t>
    </rPh>
    <phoneticPr fontId="1"/>
  </si>
  <si>
    <t>①集中攻撃対策</t>
    <rPh sb="1" eb="3">
      <t>シュウチュウ</t>
    </rPh>
    <rPh sb="3" eb="5">
      <t>コウゲキ</t>
    </rPh>
    <rPh sb="5" eb="7">
      <t>タイサク</t>
    </rPh>
    <phoneticPr fontId="1"/>
  </si>
  <si>
    <t>　　君が追加のアクションを得るためにAPを消費した際、君は[信仰]のパワーの攻撃Rに＋２のＢを得、</t>
    <rPh sb="2" eb="3">
      <t>キミ</t>
    </rPh>
    <rPh sb="4" eb="6">
      <t>ツイカ</t>
    </rPh>
    <rPh sb="13" eb="14">
      <t>エ</t>
    </rPh>
    <rPh sb="21" eb="23">
      <t>ショウヒ</t>
    </rPh>
    <rPh sb="25" eb="26">
      <t>サイ</t>
    </rPh>
    <rPh sb="27" eb="28">
      <t>キミ</t>
    </rPh>
    <rPh sb="30" eb="32">
      <t>シンコウ</t>
    </rPh>
    <rPh sb="38" eb="40">
      <t>コウゲキ</t>
    </rPh>
    <rPh sb="47" eb="48">
      <t>エ</t>
    </rPh>
    <phoneticPr fontId="1"/>
  </si>
  <si>
    <t>　　さらに、[信仰]のパワーの噴射または爆発の範囲を１拡大できる。これらの利益は次T開まで。</t>
    <rPh sb="15" eb="17">
      <t>フンシャ</t>
    </rPh>
    <rPh sb="20" eb="22">
      <t>バクハツ</t>
    </rPh>
    <rPh sb="23" eb="25">
      <t>ハンイ</t>
    </rPh>
    <rPh sb="27" eb="29">
      <t>カクダイ</t>
    </rPh>
    <rPh sb="37" eb="39">
      <t>リエキ</t>
    </rPh>
    <rPh sb="40" eb="41">
      <t>ジ</t>
    </rPh>
    <rPh sb="42" eb="43">
      <t>カイ</t>
    </rPh>
    <phoneticPr fontId="1"/>
  </si>
  <si>
    <t>ウィンド・スタッフ+3　Lv14</t>
    <phoneticPr fontId="1"/>
  </si>
  <si>
    <t>アイテム/攻撃/１４　(モ25)</t>
    <phoneticPr fontId="1"/>
  </si>
  <si>
    <r>
      <t>　　君は遠隔攻撃を行う際、目標が</t>
    </r>
    <r>
      <rPr>
        <b/>
        <sz val="11"/>
        <color rgb="FFFF0000"/>
        <rFont val="ＭＳ Ｐゴシック"/>
        <family val="3"/>
        <charset val="128"/>
        <scheme val="minor"/>
      </rPr>
      <t>伏せ</t>
    </r>
    <r>
      <rPr>
        <sz val="11"/>
        <color theme="1"/>
        <rFont val="ＭＳ Ｐゴシック"/>
        <family val="3"/>
        <charset val="128"/>
        <scheme val="minor"/>
      </rPr>
      <t>状態であることによる</t>
    </r>
    <r>
      <rPr>
        <b/>
        <sz val="11"/>
        <color rgb="FFFF0000"/>
        <rFont val="ＭＳ Ｐゴシック"/>
        <family val="3"/>
        <charset val="128"/>
        <scheme val="minor"/>
      </rPr>
      <t>ペナルティを受けない</t>
    </r>
    <r>
      <rPr>
        <sz val="11"/>
        <color theme="1"/>
        <rFont val="ＭＳ Ｐゴシック"/>
        <family val="3"/>
        <charset val="128"/>
        <scheme val="minor"/>
      </rPr>
      <t>。</t>
    </r>
    <rPh sb="2" eb="3">
      <t>キミ</t>
    </rPh>
    <rPh sb="4" eb="6">
      <t>エンカク</t>
    </rPh>
    <rPh sb="6" eb="8">
      <t>コウゲキ</t>
    </rPh>
    <rPh sb="9" eb="10">
      <t>オコナ</t>
    </rPh>
    <rPh sb="11" eb="12">
      <t>サイ</t>
    </rPh>
    <rPh sb="13" eb="15">
      <t>モクヒョウ</t>
    </rPh>
    <rPh sb="16" eb="17">
      <t>フ</t>
    </rPh>
    <rPh sb="18" eb="20">
      <t>ジョウタイ</t>
    </rPh>
    <rPh sb="34" eb="35">
      <t>ウ</t>
    </rPh>
    <phoneticPr fontId="1"/>
  </si>
  <si>
    <r>
      <t>　　君の遠隔攻撃は伏せ状態の目標に対しては</t>
    </r>
    <r>
      <rPr>
        <b/>
        <sz val="11"/>
        <color rgb="FFFF0000"/>
        <rFont val="ＭＳ Ｐゴシック"/>
        <family val="3"/>
        <charset val="128"/>
        <scheme val="minor"/>
      </rPr>
      <t>２の追加ダメージ</t>
    </r>
    <r>
      <rPr>
        <sz val="11"/>
        <color theme="1"/>
        <rFont val="ＭＳ Ｐゴシック"/>
        <family val="2"/>
        <charset val="128"/>
        <scheme val="minor"/>
      </rPr>
      <t>を与える。</t>
    </r>
    <rPh sb="2" eb="3">
      <t>キミ</t>
    </rPh>
    <rPh sb="4" eb="6">
      <t>エンカク</t>
    </rPh>
    <rPh sb="6" eb="8">
      <t>コウゲキ</t>
    </rPh>
    <rPh sb="9" eb="10">
      <t>フ</t>
    </rPh>
    <rPh sb="11" eb="13">
      <t>ジョウタイ</t>
    </rPh>
    <rPh sb="14" eb="16">
      <t>モクヒョウ</t>
    </rPh>
    <rPh sb="17" eb="18">
      <t>タイ</t>
    </rPh>
    <rPh sb="23" eb="25">
      <t>ツイカ</t>
    </rPh>
    <rPh sb="30" eb="31">
      <t>アタ</t>
    </rPh>
    <phoneticPr fontId="1"/>
  </si>
  <si>
    <r>
      <t>　　特性：使用者の遠隔攻撃は</t>
    </r>
    <r>
      <rPr>
        <b/>
        <sz val="11"/>
        <color rgb="FFFF0000"/>
        <rFont val="ＭＳ Ｐゴシック"/>
        <family val="3"/>
        <charset val="128"/>
        <scheme val="minor"/>
      </rPr>
      <t>遮蔽を無視</t>
    </r>
    <r>
      <rPr>
        <sz val="11"/>
        <color theme="1"/>
        <rFont val="ＭＳ Ｐゴシック"/>
        <family val="3"/>
        <charset val="128"/>
        <scheme val="minor"/>
      </rPr>
      <t>する。(良好な遮蔽は無視できない)</t>
    </r>
    <rPh sb="2" eb="4">
      <t>トクセイ</t>
    </rPh>
    <rPh sb="5" eb="8">
      <t>シヨウシャ</t>
    </rPh>
    <rPh sb="9" eb="11">
      <t>エンカク</t>
    </rPh>
    <rPh sb="11" eb="13">
      <t>コウゲキ</t>
    </rPh>
    <rPh sb="14" eb="16">
      <t>シャヘイ</t>
    </rPh>
    <rPh sb="17" eb="19">
      <t>ムシ</t>
    </rPh>
    <rPh sb="23" eb="25">
      <t>リョウコウ</t>
    </rPh>
    <rPh sb="26" eb="28">
      <t>シャヘイ</t>
    </rPh>
    <rPh sb="29" eb="31">
      <t>ムシ</t>
    </rPh>
    <phoneticPr fontId="1"/>
  </si>
  <si>
    <r>
      <t>　　さらに、[信仰]のパワーの噴射または爆発の範囲を</t>
    </r>
    <r>
      <rPr>
        <b/>
        <sz val="11"/>
        <color rgb="FFFF0000"/>
        <rFont val="ＭＳ Ｐゴシック"/>
        <family val="3"/>
        <charset val="128"/>
        <scheme val="minor"/>
      </rPr>
      <t>１拡大</t>
    </r>
    <r>
      <rPr>
        <sz val="11"/>
        <color theme="1"/>
        <rFont val="ＭＳ Ｐゴシック"/>
        <family val="2"/>
        <charset val="128"/>
        <scheme val="minor"/>
      </rPr>
      <t>できる。これらの利益は</t>
    </r>
    <r>
      <rPr>
        <b/>
        <sz val="11"/>
        <color rgb="FFFF0000"/>
        <rFont val="ＭＳ Ｐゴシック"/>
        <family val="3"/>
        <charset val="128"/>
        <scheme val="minor"/>
      </rPr>
      <t>次T開</t>
    </r>
    <r>
      <rPr>
        <sz val="11"/>
        <color theme="1"/>
        <rFont val="ＭＳ Ｐゴシック"/>
        <family val="2"/>
        <charset val="128"/>
        <scheme val="minor"/>
      </rPr>
      <t>まで。</t>
    </r>
    <rPh sb="15" eb="17">
      <t>フンシャ</t>
    </rPh>
    <rPh sb="20" eb="22">
      <t>バクハツ</t>
    </rPh>
    <rPh sb="23" eb="25">
      <t>ハンイ</t>
    </rPh>
    <rPh sb="27" eb="29">
      <t>カクダイ</t>
    </rPh>
    <rPh sb="37" eb="39">
      <t>リエキ</t>
    </rPh>
    <rPh sb="40" eb="41">
      <t>ジ</t>
    </rPh>
    <rPh sb="42" eb="43">
      <t>カイ</t>
    </rPh>
    <phoneticPr fontId="1"/>
  </si>
  <si>
    <r>
      <t>　　君が追加のアクションを得るためにAPを消費した際、君は[信仰]のパワーの攻撃Rに</t>
    </r>
    <r>
      <rPr>
        <b/>
        <sz val="11"/>
        <color rgb="FFFF0000"/>
        <rFont val="ＭＳ Ｐゴシック"/>
        <family val="3"/>
        <charset val="128"/>
        <scheme val="minor"/>
      </rPr>
      <t>＋２</t>
    </r>
    <r>
      <rPr>
        <sz val="11"/>
        <color theme="1"/>
        <rFont val="ＭＳ Ｐゴシック"/>
        <family val="3"/>
        <charset val="128"/>
        <scheme val="minor"/>
      </rPr>
      <t>のＢを得、</t>
    </r>
    <rPh sb="2" eb="3">
      <t>キミ</t>
    </rPh>
    <rPh sb="4" eb="6">
      <t>ツイカ</t>
    </rPh>
    <rPh sb="13" eb="14">
      <t>エ</t>
    </rPh>
    <rPh sb="21" eb="23">
      <t>ショウヒ</t>
    </rPh>
    <rPh sb="25" eb="26">
      <t>サイ</t>
    </rPh>
    <rPh sb="27" eb="28">
      <t>キミ</t>
    </rPh>
    <rPh sb="30" eb="32">
      <t>シンコウ</t>
    </rPh>
    <rPh sb="38" eb="40">
      <t>コウゲキ</t>
    </rPh>
    <rPh sb="47" eb="48">
      <t>エ</t>
    </rPh>
    <phoneticPr fontId="1"/>
  </si>
  <si>
    <r>
      <t>　　選択できる。それにより君は</t>
    </r>
    <r>
      <rPr>
        <b/>
        <sz val="11"/>
        <color rgb="FFFF0000"/>
        <rFont val="ＭＳ Ｐゴシック"/>
        <family val="3"/>
        <charset val="128"/>
        <scheme val="minor"/>
      </rPr>
      <t>19～20</t>
    </r>
    <r>
      <rPr>
        <sz val="11"/>
        <color theme="1"/>
        <rFont val="ＭＳ Ｐゴシック"/>
        <family val="2"/>
        <charset val="128"/>
        <scheme val="minor"/>
      </rPr>
      <t>の目で攻撃を</t>
    </r>
    <r>
      <rPr>
        <b/>
        <sz val="11"/>
        <color rgb="FFFF0000"/>
        <rFont val="ＭＳ Ｐゴシック"/>
        <family val="3"/>
        <charset val="128"/>
        <scheme val="minor"/>
      </rPr>
      <t>クリティカル・ヒット</t>
    </r>
    <r>
      <rPr>
        <sz val="11"/>
        <color theme="1"/>
        <rFont val="ＭＳ Ｐゴシック"/>
        <family val="2"/>
        <charset val="128"/>
        <scheme val="minor"/>
      </rPr>
      <t>にする事が可能となり、</t>
    </r>
    <rPh sb="2" eb="4">
      <t>センタク</t>
    </rPh>
    <rPh sb="13" eb="14">
      <t>キミ</t>
    </rPh>
    <rPh sb="21" eb="22">
      <t>メ</t>
    </rPh>
    <rPh sb="23" eb="25">
      <t>コウゲキ</t>
    </rPh>
    <rPh sb="39" eb="40">
      <t>コト</t>
    </rPh>
    <rPh sb="41" eb="43">
      <t>カノウ</t>
    </rPh>
    <phoneticPr fontId="1"/>
  </si>
  <si>
    <t>　　目標はその攻撃の効果に対するSTに－２のペナルティを負う。</t>
    <rPh sb="2" eb="4">
      <t>モクヒョウ</t>
    </rPh>
    <rPh sb="7" eb="9">
      <t>コウゲキ</t>
    </rPh>
    <rPh sb="10" eb="12">
      <t>コウカ</t>
    </rPh>
    <rPh sb="13" eb="14">
      <t>タイ</t>
    </rPh>
    <rPh sb="28" eb="29">
      <t>オ</t>
    </rPh>
    <phoneticPr fontId="1"/>
  </si>
  <si>
    <t>※《無双の意志》(墜256)</t>
    <rPh sb="5" eb="7">
      <t>イシ</t>
    </rPh>
    <rPh sb="9" eb="10">
      <t>オ</t>
    </rPh>
    <phoneticPr fontId="1"/>
  </si>
  <si>
    <r>
      <t>　　このセーヴは、</t>
    </r>
    <r>
      <rPr>
        <b/>
        <sz val="11"/>
        <color rgb="FFFF0000"/>
        <rFont val="ＭＳ Ｐゴシック"/>
        <family val="3"/>
        <charset val="128"/>
        <scheme val="minor"/>
      </rPr>
      <t>通常ならセーヴによって終了させることができない効果に対して</t>
    </r>
    <r>
      <rPr>
        <sz val="11"/>
        <color theme="1"/>
        <rFont val="ＭＳ Ｐゴシック"/>
        <family val="3"/>
        <charset val="128"/>
        <scheme val="minor"/>
      </rPr>
      <t>も行える。</t>
    </r>
    <rPh sb="20" eb="22">
      <t>シュウリョウ</t>
    </rPh>
    <rPh sb="32" eb="34">
      <t>コウカ</t>
    </rPh>
    <rPh sb="35" eb="36">
      <t>タイ</t>
    </rPh>
    <rPh sb="39" eb="40">
      <t>オコナ</t>
    </rPh>
    <phoneticPr fontId="1"/>
  </si>
  <si>
    <r>
      <t>　　君は遭遇開始後、</t>
    </r>
    <r>
      <rPr>
        <b/>
        <sz val="11"/>
        <color rgb="FFFF0000"/>
        <rFont val="ＭＳ Ｐゴシック"/>
        <family val="3"/>
        <charset val="128"/>
        <scheme val="minor"/>
      </rPr>
      <t>最初の自分のＴの間</t>
    </r>
    <r>
      <rPr>
        <sz val="11"/>
        <color theme="1"/>
        <rFont val="ＭＳ Ｐゴシック"/>
        <family val="3"/>
        <charset val="128"/>
        <scheme val="minor"/>
      </rPr>
      <t>、すべての敵に対して戦術的優位を得る。</t>
    </r>
    <rPh sb="2" eb="3">
      <t>キミ</t>
    </rPh>
    <rPh sb="4" eb="6">
      <t>ソウグウ</t>
    </rPh>
    <rPh sb="6" eb="8">
      <t>カイシ</t>
    </rPh>
    <rPh sb="8" eb="9">
      <t>ゴ</t>
    </rPh>
    <rPh sb="10" eb="12">
      <t>サイショ</t>
    </rPh>
    <rPh sb="13" eb="15">
      <t>ジブン</t>
    </rPh>
    <rPh sb="18" eb="19">
      <t>アイダ</t>
    </rPh>
    <rPh sb="24" eb="25">
      <t>テキ</t>
    </rPh>
    <rPh sb="26" eb="27">
      <t>タイ</t>
    </rPh>
    <rPh sb="29" eb="32">
      <t>センジュツテキ</t>
    </rPh>
    <rPh sb="32" eb="34">
      <t>ユウイ</t>
    </rPh>
    <rPh sb="35" eb="36">
      <t>エ</t>
    </rPh>
    <phoneticPr fontId="1"/>
  </si>
  <si>
    <r>
      <t>　　一方、</t>
    </r>
    <r>
      <rPr>
        <b/>
        <sz val="11"/>
        <color rgb="FFFF0000"/>
        <rFont val="ＭＳ Ｐゴシック"/>
        <family val="3"/>
        <charset val="128"/>
        <scheme val="minor"/>
      </rPr>
      <t>君も次T終まで幻惑状態</t>
    </r>
    <r>
      <rPr>
        <sz val="11"/>
        <color theme="1"/>
        <rFont val="ＭＳ Ｐゴシック"/>
        <family val="3"/>
        <charset val="128"/>
        <scheme val="minor"/>
      </rPr>
      <t>となる。</t>
    </r>
    <phoneticPr fontId="1"/>
  </si>
  <si>
    <t>※《撃ち下ろし射撃》(PHⅢ103)</t>
    <rPh sb="2" eb="3">
      <t>ウ</t>
    </rPh>
    <rPh sb="4" eb="5">
      <t>オ</t>
    </rPh>
    <rPh sb="7" eb="9">
      <t>シャゲキ</t>
    </rPh>
    <phoneticPr fontId="1"/>
  </si>
  <si>
    <t>常識的に考えて無双の反応の効果を適用するのは無理（笑）。</t>
    <rPh sb="0" eb="3">
      <t>ジョウシキテキ</t>
    </rPh>
    <rPh sb="4" eb="5">
      <t>カンガ</t>
    </rPh>
    <rPh sb="7" eb="9">
      <t>ムソウ</t>
    </rPh>
    <rPh sb="10" eb="12">
      <t>ハンノウ</t>
    </rPh>
    <rPh sb="13" eb="15">
      <t>コウカ</t>
    </rPh>
    <rPh sb="16" eb="18">
      <t>テキヨウ</t>
    </rPh>
    <rPh sb="22" eb="24">
      <t>ムリ</t>
    </rPh>
    <rPh sb="25" eb="26">
      <t>ワライ</t>
    </rPh>
    <phoneticPr fontId="1"/>
  </si>
  <si>
    <t>①スミス唯一のノーダメージ攻撃パワー</t>
    <rPh sb="4" eb="6">
      <t>ユイイツ</t>
    </rPh>
    <rPh sb="13" eb="15">
      <t>コウゲキ</t>
    </rPh>
    <phoneticPr fontId="1"/>
  </si>
  <si>
    <t>大音声の幻惑を無双の意志で一応キャンセル可能だが、ＳＴに失敗した場合かなり悲惨な事に・・・。</t>
    <rPh sb="0" eb="3">
      <t>ダイオンセイ</t>
    </rPh>
    <rPh sb="4" eb="6">
      <t>ゲンワク</t>
    </rPh>
    <rPh sb="7" eb="9">
      <t>ムソウ</t>
    </rPh>
    <rPh sb="10" eb="12">
      <t>イシ</t>
    </rPh>
    <rPh sb="13" eb="15">
      <t>イチオウ</t>
    </rPh>
    <rPh sb="20" eb="22">
      <t>カノウ</t>
    </rPh>
    <phoneticPr fontId="1"/>
  </si>
  <si>
    <t>　　爆発が最大３なのは、かなり広い！　味方を巻き込めるので気楽に使える。</t>
    <rPh sb="2" eb="4">
      <t>バクハツ</t>
    </rPh>
    <rPh sb="5" eb="7">
      <t>サイダイ</t>
    </rPh>
    <rPh sb="15" eb="16">
      <t>ヒロ</t>
    </rPh>
    <rPh sb="19" eb="21">
      <t>ミカタ</t>
    </rPh>
    <rPh sb="22" eb="23">
      <t>マ</t>
    </rPh>
    <rPh sb="24" eb="25">
      <t>コ</t>
    </rPh>
    <rPh sb="29" eb="31">
      <t>キラク</t>
    </rPh>
    <rPh sb="32" eb="33">
      <t>ツカ</t>
    </rPh>
    <phoneticPr fontId="1"/>
  </si>
  <si>
    <t>　　とりあえず気楽に撃っちゃってＯＫ！　味方を巻き込めるので本当に気楽に使える。</t>
    <rPh sb="7" eb="9">
      <t>キラク</t>
    </rPh>
    <rPh sb="10" eb="11">
      <t>ウ</t>
    </rPh>
    <phoneticPr fontId="1"/>
  </si>
  <si>
    <t>　　レアケースではあるが結構大事。　味方を巻き込めるのは本当に楽・・・。</t>
    <rPh sb="12" eb="14">
      <t>ケッコウ</t>
    </rPh>
    <rPh sb="14" eb="16">
      <t>ダイジ</t>
    </rPh>
    <phoneticPr fontId="1"/>
  </si>
  <si>
    <t>先手を取って減速にするメリットとは？</t>
    <rPh sb="0" eb="2">
      <t>センテ</t>
    </rPh>
    <rPh sb="3" eb="4">
      <t>ト</t>
    </rPh>
    <rPh sb="6" eb="8">
      <t>ゲンソク</t>
    </rPh>
    <phoneticPr fontId="1"/>
  </si>
  <si>
    <t>敵の間合いの遥か彼方から減速にすれば、ハメ技になり得る！</t>
    <rPh sb="0" eb="1">
      <t>テキ</t>
    </rPh>
    <rPh sb="2" eb="4">
      <t>マア</t>
    </rPh>
    <rPh sb="6" eb="7">
      <t>ハル</t>
    </rPh>
    <rPh sb="8" eb="10">
      <t>カナタ</t>
    </rPh>
    <rPh sb="12" eb="14">
      <t>ゲンソク</t>
    </rPh>
    <rPh sb="21" eb="22">
      <t>ワザ</t>
    </rPh>
    <rPh sb="25" eb="26">
      <t>ウ</t>
    </rPh>
    <phoneticPr fontId="1"/>
  </si>
  <si>
    <r>
      <t>適切に使えば、近接攻撃しか持っていない敵は</t>
    </r>
    <r>
      <rPr>
        <b/>
        <sz val="11"/>
        <color rgb="FFFF0000"/>
        <rFont val="ＭＳ Ｐゴシック"/>
        <family val="3"/>
        <charset val="128"/>
        <scheme val="minor"/>
      </rPr>
      <t>１ターン休み</t>
    </r>
    <r>
      <rPr>
        <sz val="11"/>
        <color theme="1"/>
        <rFont val="ＭＳ Ｐゴシック"/>
        <family val="2"/>
        <charset val="128"/>
        <scheme val="minor"/>
      </rPr>
      <t>になる可能性が非常に高い。</t>
    </r>
    <rPh sb="0" eb="2">
      <t>テキセツ</t>
    </rPh>
    <rPh sb="3" eb="4">
      <t>ツカ</t>
    </rPh>
    <rPh sb="7" eb="9">
      <t>キンセツ</t>
    </rPh>
    <rPh sb="9" eb="11">
      <t>コウゲキ</t>
    </rPh>
    <rPh sb="13" eb="14">
      <t>モ</t>
    </rPh>
    <rPh sb="19" eb="20">
      <t>テキ</t>
    </rPh>
    <rPh sb="25" eb="26">
      <t>ヤス</t>
    </rPh>
    <rPh sb="30" eb="33">
      <t>カノウセイ</t>
    </rPh>
    <rPh sb="34" eb="36">
      <t>ヒジョウ</t>
    </rPh>
    <rPh sb="37" eb="38">
      <t>タカ</t>
    </rPh>
    <phoneticPr fontId="1"/>
  </si>
  <si>
    <r>
      <t>特に</t>
    </r>
    <r>
      <rPr>
        <b/>
        <sz val="11"/>
        <color rgb="FFFF0000"/>
        <rFont val="ＭＳ Ｐゴシック"/>
        <family val="3"/>
        <charset val="128"/>
        <scheme val="minor"/>
      </rPr>
      <t>突撃を待機</t>
    </r>
    <r>
      <rPr>
        <sz val="11"/>
        <color theme="1"/>
        <rFont val="ＭＳ Ｐゴシック"/>
        <family val="2"/>
        <charset val="128"/>
        <scheme val="minor"/>
      </rPr>
      <t>しているような敵の怪しい動きを前方に発見したら、遠慮せずにＧＯ！</t>
    </r>
    <rPh sb="0" eb="1">
      <t>トク</t>
    </rPh>
    <rPh sb="2" eb="4">
      <t>トツゲキ</t>
    </rPh>
    <rPh sb="5" eb="7">
      <t>タイキ</t>
    </rPh>
    <rPh sb="14" eb="15">
      <t>テキ</t>
    </rPh>
    <rPh sb="16" eb="17">
      <t>アヤ</t>
    </rPh>
    <rPh sb="19" eb="20">
      <t>ウゴ</t>
    </rPh>
    <rPh sb="22" eb="24">
      <t>ゼンポウ</t>
    </rPh>
    <rPh sb="25" eb="27">
      <t>ハッケン</t>
    </rPh>
    <rPh sb="31" eb="33">
      <t>エンリョ</t>
    </rPh>
    <phoneticPr fontId="1"/>
  </si>
  <si>
    <t>ディヴァイン・コール</t>
    <phoneticPr fontId="1"/>
  </si>
  <si>
    <r>
      <t>　　君スタッフ類を</t>
    </r>
    <r>
      <rPr>
        <b/>
        <sz val="11"/>
        <color rgb="FFFF0000"/>
        <rFont val="ＭＳ Ｐゴシック"/>
        <family val="3"/>
        <charset val="128"/>
        <scheme val="minor"/>
      </rPr>
      <t>[装具]</t>
    </r>
    <r>
      <rPr>
        <sz val="11"/>
        <color theme="1"/>
        <rFont val="ＭＳ Ｐゴシック"/>
        <family val="3"/>
        <charset val="128"/>
        <scheme val="minor"/>
      </rPr>
      <t>として遠隔攻撃および遠隔範囲攻撃を行う際に、</t>
    </r>
    <rPh sb="2" eb="3">
      <t>キミ</t>
    </rPh>
    <rPh sb="7" eb="8">
      <t>ルイ</t>
    </rPh>
    <rPh sb="10" eb="12">
      <t>ソウグ</t>
    </rPh>
    <rPh sb="16" eb="18">
      <t>エンカク</t>
    </rPh>
    <rPh sb="18" eb="20">
      <t>コウゲキ</t>
    </rPh>
    <rPh sb="23" eb="25">
      <t>エンカク</t>
    </rPh>
    <rPh sb="25" eb="27">
      <t>ハンイ</t>
    </rPh>
    <rPh sb="27" eb="29">
      <t>コウゲキ</t>
    </rPh>
    <rPh sb="30" eb="31">
      <t>オコナ</t>
    </rPh>
    <rPh sb="32" eb="33">
      <t>サイ</t>
    </rPh>
    <phoneticPr fontId="1"/>
  </si>
  <si>
    <t>　　標準アクションだったら激おこプンプン丸（死語）だったが、移動アクションなので充分か？</t>
    <rPh sb="2" eb="4">
      <t>ヒョウジュン</t>
    </rPh>
    <rPh sb="13" eb="14">
      <t>ゲキ</t>
    </rPh>
    <rPh sb="20" eb="21">
      <t>マル</t>
    </rPh>
    <rPh sb="22" eb="24">
      <t>シゴ</t>
    </rPh>
    <rPh sb="30" eb="32">
      <t>イドウ</t>
    </rPh>
    <rPh sb="40" eb="42">
      <t>ジュウブン</t>
    </rPh>
    <phoneticPr fontId="1"/>
  </si>
  <si>
    <t>②当たり前だが使う前に移動不可能</t>
    <rPh sb="1" eb="2">
      <t>ア</t>
    </rPh>
    <rPh sb="4" eb="5">
      <t>マエ</t>
    </rPh>
    <rPh sb="7" eb="8">
      <t>ツカ</t>
    </rPh>
    <rPh sb="9" eb="10">
      <t>マエ</t>
    </rPh>
    <rPh sb="11" eb="13">
      <t>イドウ</t>
    </rPh>
    <rPh sb="13" eb="16">
      <t>フカノウ</t>
    </rPh>
    <phoneticPr fontId="1"/>
  </si>
  <si>
    <t>　　標準アクションでコレを使う価値が無い以上、コレと自身の移動を併用するのは無理！</t>
    <rPh sb="2" eb="4">
      <t>ヒョウジュン</t>
    </rPh>
    <rPh sb="13" eb="14">
      <t>ツカ</t>
    </rPh>
    <rPh sb="15" eb="17">
      <t>カチ</t>
    </rPh>
    <rPh sb="18" eb="19">
      <t>ナ</t>
    </rPh>
    <rPh sb="20" eb="22">
      <t>イジョウ</t>
    </rPh>
    <rPh sb="26" eb="28">
      <t>ジシン</t>
    </rPh>
    <rPh sb="29" eb="31">
      <t>イドウ</t>
    </rPh>
    <rPh sb="32" eb="34">
      <t>ヘイヨウ</t>
    </rPh>
    <rPh sb="38" eb="40">
      <t>ムリ</t>
    </rPh>
    <phoneticPr fontId="1"/>
  </si>
  <si>
    <t>③かなり射程が短い</t>
    <rPh sb="4" eb="6">
      <t>シャテイ</t>
    </rPh>
    <rPh sb="7" eb="8">
      <t>ミジカ</t>
    </rPh>
    <phoneticPr fontId="1"/>
  </si>
  <si>
    <t>　　コレを使う前に予め敵に近付く（ or 近付いてもらう）必要がある。</t>
    <rPh sb="5" eb="6">
      <t>ツカ</t>
    </rPh>
    <rPh sb="7" eb="8">
      <t>マエ</t>
    </rPh>
    <rPh sb="9" eb="10">
      <t>アラカジ</t>
    </rPh>
    <rPh sb="11" eb="12">
      <t>テキ</t>
    </rPh>
    <rPh sb="13" eb="15">
      <t>チカヅ</t>
    </rPh>
    <rPh sb="21" eb="23">
      <t>チカヅ</t>
    </rPh>
    <rPh sb="29" eb="31">
      <t>ヒツヨウ</t>
    </rPh>
    <phoneticPr fontId="1"/>
  </si>
  <si>
    <t>以上の３点から導き出される結論は</t>
    <rPh sb="0" eb="2">
      <t>イジョウ</t>
    </rPh>
    <rPh sb="4" eb="5">
      <t>テン</t>
    </rPh>
    <rPh sb="7" eb="8">
      <t>ミチビ</t>
    </rPh>
    <rPh sb="9" eb="10">
      <t>ダ</t>
    </rPh>
    <rPh sb="13" eb="15">
      <t>ケツロン</t>
    </rPh>
    <phoneticPr fontId="1"/>
  </si>
  <si>
    <t>・前衛と一緒に範囲攻撃に巻き込まれる位の位置取りが必要</t>
    <rPh sb="1" eb="3">
      <t>ゼンエイ</t>
    </rPh>
    <rPh sb="4" eb="6">
      <t>イッショ</t>
    </rPh>
    <rPh sb="7" eb="9">
      <t>ハンイ</t>
    </rPh>
    <rPh sb="9" eb="11">
      <t>コウゲキ</t>
    </rPh>
    <rPh sb="12" eb="13">
      <t>マ</t>
    </rPh>
    <rPh sb="14" eb="15">
      <t>コ</t>
    </rPh>
    <rPh sb="18" eb="19">
      <t>クライ</t>
    </rPh>
    <rPh sb="20" eb="22">
      <t>イチ</t>
    </rPh>
    <rPh sb="22" eb="23">
      <t>ド</t>
    </rPh>
    <rPh sb="25" eb="27">
      <t>ヒツヨウ</t>
    </rPh>
    <phoneticPr fontId="1"/>
  </si>
  <si>
    <t>となるので、エレメンタル・マインとのコンボ用と割り切るのが吉か？</t>
    <rPh sb="21" eb="22">
      <t>ヨウ</t>
    </rPh>
    <rPh sb="23" eb="24">
      <t>ワ</t>
    </rPh>
    <rPh sb="25" eb="26">
      <t>キ</t>
    </rPh>
    <rPh sb="29" eb="30">
      <t>キチ</t>
    </rPh>
    <phoneticPr fontId="1"/>
  </si>
  <si>
    <t>②伏せかつ幻惑状態の敵を前衛の２マス先まで離す</t>
    <rPh sb="1" eb="2">
      <t>フ</t>
    </rPh>
    <rPh sb="5" eb="7">
      <t>ゲンワク</t>
    </rPh>
    <rPh sb="7" eb="9">
      <t>ジョウタイ</t>
    </rPh>
    <rPh sb="10" eb="11">
      <t>テキ</t>
    </rPh>
    <rPh sb="12" eb="14">
      <t>ゼンエイ</t>
    </rPh>
    <rPh sb="18" eb="19">
      <t>サキ</t>
    </rPh>
    <rPh sb="21" eb="22">
      <t>ハナ</t>
    </rPh>
    <phoneticPr fontId="1"/>
  </si>
  <si>
    <t>　　突撃不可能なので、敵が間合いも遠隔も持っていないと悶え苦しむ。</t>
    <rPh sb="2" eb="4">
      <t>トツゲキ</t>
    </rPh>
    <rPh sb="4" eb="7">
      <t>フカノウ</t>
    </rPh>
    <rPh sb="11" eb="12">
      <t>テキ</t>
    </rPh>
    <rPh sb="13" eb="15">
      <t>マア</t>
    </rPh>
    <rPh sb="17" eb="19">
      <t>エンカク</t>
    </rPh>
    <rPh sb="20" eb="21">
      <t>モ</t>
    </rPh>
    <rPh sb="27" eb="28">
      <t>モダ</t>
    </rPh>
    <rPh sb="29" eb="30">
      <t>クル</t>
    </rPh>
    <phoneticPr fontId="1"/>
  </si>
  <si>
    <t>　　起き上がって１ターン休むか、這い進んで近接攻撃して起き上がるのを諦めるか・・・。</t>
    <rPh sb="2" eb="3">
      <t>オ</t>
    </rPh>
    <rPh sb="4" eb="5">
      <t>ア</t>
    </rPh>
    <rPh sb="12" eb="13">
      <t>ヤス</t>
    </rPh>
    <rPh sb="16" eb="17">
      <t>ハ</t>
    </rPh>
    <rPh sb="18" eb="19">
      <t>スス</t>
    </rPh>
    <rPh sb="21" eb="23">
      <t>キンセツ</t>
    </rPh>
    <rPh sb="23" eb="25">
      <t>コウゲキ</t>
    </rPh>
    <rPh sb="27" eb="28">
      <t>オ</t>
    </rPh>
    <rPh sb="29" eb="30">
      <t>ア</t>
    </rPh>
    <rPh sb="34" eb="35">
      <t>アキラ</t>
    </rPh>
    <phoneticPr fontId="1"/>
  </si>
  <si>
    <t>　　どうせ伏せからは復帰不可能なので、どっちみち伏せ幻惑はかなり有効！</t>
    <rPh sb="5" eb="6">
      <t>フ</t>
    </rPh>
    <rPh sb="10" eb="12">
      <t>フッキ</t>
    </rPh>
    <rPh sb="12" eb="15">
      <t>フカノウ</t>
    </rPh>
    <rPh sb="24" eb="25">
      <t>フ</t>
    </rPh>
    <rPh sb="26" eb="28">
      <t>ゲンワク</t>
    </rPh>
    <rPh sb="32" eb="34">
      <t>ユウコウ</t>
    </rPh>
    <phoneticPr fontId="1"/>
  </si>
  <si>
    <r>
      <t>欠点は対アンデッド専用である事のみ！　</t>
    </r>
    <r>
      <rPr>
        <b/>
        <sz val="11"/>
        <color rgb="FFFF0000"/>
        <rFont val="ＭＳ Ｐゴシック"/>
        <family val="3"/>
        <charset val="128"/>
        <scheme val="minor"/>
      </rPr>
      <t>最大噴射６は、かなり広い！</t>
    </r>
    <rPh sb="0" eb="2">
      <t>ケッテン</t>
    </rPh>
    <rPh sb="3" eb="4">
      <t>タイ</t>
    </rPh>
    <rPh sb="9" eb="11">
      <t>センヨウ</t>
    </rPh>
    <rPh sb="14" eb="15">
      <t>コト</t>
    </rPh>
    <phoneticPr fontId="1"/>
  </si>
  <si>
    <t>　　間合いや遠隔、近爆持っている場合は、前衛を敵に密着させといた方が良さ気か？</t>
    <rPh sb="2" eb="4">
      <t>マア</t>
    </rPh>
    <rPh sb="6" eb="8">
      <t>エンカク</t>
    </rPh>
    <rPh sb="9" eb="10">
      <t>チカ</t>
    </rPh>
    <rPh sb="10" eb="11">
      <t>バク</t>
    </rPh>
    <rPh sb="11" eb="12">
      <t>モ</t>
    </rPh>
    <rPh sb="16" eb="18">
      <t>バアイ</t>
    </rPh>
    <rPh sb="20" eb="22">
      <t>ゼンエイ</t>
    </rPh>
    <rPh sb="23" eb="24">
      <t>テキ</t>
    </rPh>
    <rPh sb="25" eb="27">
      <t>ミッチャク</t>
    </rPh>
    <rPh sb="32" eb="33">
      <t>ホウ</t>
    </rPh>
    <rPh sb="34" eb="35">
      <t>ヨ</t>
    </rPh>
    <rPh sb="36" eb="37">
      <t>ゲ</t>
    </rPh>
    <phoneticPr fontId="1"/>
  </si>
  <si>
    <t>①マイナーじゃなくて移動アクション</t>
    <rPh sb="10" eb="12">
      <t>イドウ</t>
    </rPh>
    <phoneticPr fontId="1"/>
  </si>
  <si>
    <t>　　マイナー・アクションだったら最強クラスの汎用パワーだったが、移動アクションなのは結構キツい。</t>
    <rPh sb="16" eb="18">
      <t>サイキョウ</t>
    </rPh>
    <rPh sb="22" eb="24">
      <t>ハンヨウ</t>
    </rPh>
    <rPh sb="32" eb="34">
      <t>イドウ</t>
    </rPh>
    <rPh sb="42" eb="44">
      <t>ケッコウ</t>
    </rPh>
    <phoneticPr fontId="1"/>
  </si>
  <si>
    <t>③意外と射程は長い</t>
    <rPh sb="1" eb="3">
      <t>イガイ</t>
    </rPh>
    <rPh sb="4" eb="6">
      <t>シャテイ</t>
    </rPh>
    <rPh sb="7" eb="8">
      <t>ナガ</t>
    </rPh>
    <phoneticPr fontId="1"/>
  </si>
  <si>
    <t>　　コレを使う前に予め味方（特に前衛）に近付く必要があるが、射程が５もあれば何とかなる？</t>
    <rPh sb="5" eb="6">
      <t>ツカ</t>
    </rPh>
    <rPh sb="7" eb="8">
      <t>マエ</t>
    </rPh>
    <rPh sb="9" eb="10">
      <t>アラカジ</t>
    </rPh>
    <rPh sb="11" eb="13">
      <t>ミカタ</t>
    </rPh>
    <rPh sb="14" eb="15">
      <t>トク</t>
    </rPh>
    <rPh sb="16" eb="18">
      <t>ゼンエイ</t>
    </rPh>
    <rPh sb="20" eb="22">
      <t>チカヅ</t>
    </rPh>
    <rPh sb="23" eb="25">
      <t>ヒツヨウ</t>
    </rPh>
    <rPh sb="30" eb="32">
      <t>シャテイ</t>
    </rPh>
    <rPh sb="38" eb="39">
      <t>ナン</t>
    </rPh>
    <phoneticPr fontId="1"/>
  </si>
  <si>
    <t>3 ( or 4 )</t>
    <phoneticPr fontId="1"/>
  </si>
  <si>
    <t>イーライ　ＡＰ</t>
    <phoneticPr fontId="1"/>
  </si>
  <si>
    <t>特殊命令</t>
    <rPh sb="0" eb="2">
      <t>トクシュ</t>
    </rPh>
    <rPh sb="2" eb="4">
      <t>メイレイ</t>
    </rPh>
    <phoneticPr fontId="26"/>
  </si>
  <si>
    <t>命中R</t>
    <rPh sb="0" eb="2">
      <t>メイチュウ</t>
    </rPh>
    <phoneticPr fontId="26"/>
  </si>
  <si>
    <t>ダメージ</t>
    <phoneticPr fontId="1"/>
  </si>
  <si>
    <t>クリティカル</t>
    <phoneticPr fontId="1"/>
  </si>
  <si>
    <t>近接
基礎
攻撃</t>
    <rPh sb="0" eb="2">
      <t>キンセツ</t>
    </rPh>
    <rPh sb="3" eb="5">
      <t>キソ</t>
    </rPh>
    <rPh sb="6" eb="8">
      <t>コウゲキ</t>
    </rPh>
    <phoneticPr fontId="26"/>
  </si>
  <si>
    <t>ＡＣ</t>
    <phoneticPr fontId="1"/>
  </si>
  <si>
    <t>頑健</t>
    <rPh sb="0" eb="2">
      <t>ガンケン</t>
    </rPh>
    <phoneticPr fontId="1"/>
  </si>
  <si>
    <t>機会</t>
    <rPh sb="0" eb="2">
      <t>キカイ</t>
    </rPh>
    <phoneticPr fontId="26"/>
  </si>
  <si>
    <t>ＡＣ</t>
    <phoneticPr fontId="1"/>
  </si>
  <si>
    <t>マイナー</t>
    <phoneticPr fontId="26"/>
  </si>
  <si>
    <t>反応</t>
    <rPh sb="0" eb="2">
      <t>ハンノウ</t>
    </rPh>
    <phoneticPr fontId="1"/>
  </si>
  <si>
    <t>　　とりあえず気楽に撃っちゃってＯＫ！　味方を巻き込めるので気楽に使える。</t>
    <rPh sb="7" eb="9">
      <t>キラク</t>
    </rPh>
    <rPh sb="10" eb="11">
      <t>ウ</t>
    </rPh>
    <phoneticPr fontId="1"/>
  </si>
  <si>
    <t>エレメンタル・マイン</t>
    <phoneticPr fontId="1"/>
  </si>
  <si>
    <t>　　敵を押しやった後、自力で逃げ出す事も可能なので保険として考えれば優秀か？</t>
    <rPh sb="2" eb="3">
      <t>テキ</t>
    </rPh>
    <rPh sb="4" eb="5">
      <t>オ</t>
    </rPh>
    <rPh sb="9" eb="10">
      <t>アト</t>
    </rPh>
    <rPh sb="11" eb="13">
      <t>ジリキ</t>
    </rPh>
    <rPh sb="14" eb="15">
      <t>ニ</t>
    </rPh>
    <rPh sb="16" eb="17">
      <t>ダ</t>
    </rPh>
    <rPh sb="18" eb="19">
      <t>コト</t>
    </rPh>
    <rPh sb="20" eb="22">
      <t>カノウ</t>
    </rPh>
    <rPh sb="25" eb="27">
      <t>ホケン</t>
    </rPh>
    <rPh sb="30" eb="31">
      <t>カンガ</t>
    </rPh>
    <rPh sb="34" eb="36">
      <t>ユウシュウ</t>
    </rPh>
    <phoneticPr fontId="1"/>
  </si>
  <si>
    <t>③エレメンタル・マイン対策</t>
    <rPh sb="11" eb="13">
      <t>タイサク</t>
    </rPh>
    <phoneticPr fontId="1"/>
  </si>
  <si>
    <t>　　わざわざ敵に接近する事になってしまうので、ミスした時の状況はかなり厳しい？</t>
    <rPh sb="6" eb="7">
      <t>テキ</t>
    </rPh>
    <rPh sb="8" eb="10">
      <t>セッキン</t>
    </rPh>
    <rPh sb="12" eb="13">
      <t>コト</t>
    </rPh>
    <rPh sb="27" eb="28">
      <t>トキ</t>
    </rPh>
    <rPh sb="29" eb="31">
      <t>ジョウキョウ</t>
    </rPh>
    <rPh sb="35" eb="36">
      <t>キビ</t>
    </rPh>
    <phoneticPr fontId="1"/>
  </si>
  <si>
    <t>ウィンド・スタッフ+3　Lv14</t>
    <phoneticPr fontId="1"/>
  </si>
  <si>
    <t>　　ウィンド・スタッフ遭遇毎との両立も困難なので、一発勝負のバクチ色が強そうなプランか？</t>
    <rPh sb="11" eb="13">
      <t>ソウグウ</t>
    </rPh>
    <rPh sb="13" eb="14">
      <t>マイ</t>
    </rPh>
    <rPh sb="16" eb="18">
      <t>リョウリツ</t>
    </rPh>
    <rPh sb="19" eb="21">
      <t>コンナン</t>
    </rPh>
    <rPh sb="25" eb="27">
      <t>イッパツ</t>
    </rPh>
    <rPh sb="27" eb="29">
      <t>ショウブ</t>
    </rPh>
    <rPh sb="33" eb="34">
      <t>ショク</t>
    </rPh>
    <rPh sb="35" eb="36">
      <t>ツヨ</t>
    </rPh>
    <phoneticPr fontId="1"/>
  </si>
  <si>
    <t>アドモニシング・ウィスパー</t>
    <phoneticPr fontId="1"/>
  </si>
  <si>
    <t>アドモニシング・ウィスパー or ウィンド・スタッフ使って自力でコンボ達成を狙う、以上！</t>
    <rPh sb="26" eb="27">
      <t>ツカ</t>
    </rPh>
    <rPh sb="29" eb="31">
      <t>ジリキ</t>
    </rPh>
    <rPh sb="35" eb="37">
      <t>タッセイ</t>
    </rPh>
    <rPh sb="38" eb="39">
      <t>ネラ</t>
    </rPh>
    <rPh sb="41" eb="43">
      <t>イジョウ</t>
    </rPh>
    <phoneticPr fontId="1"/>
  </si>
  <si>
    <t>また、ミスしても移動アクションが余らないので逃げる事も叶わず、ピンチを招きかねない？</t>
    <rPh sb="8" eb="10">
      <t>イドウ</t>
    </rPh>
    <rPh sb="16" eb="17">
      <t>アマ</t>
    </rPh>
    <rPh sb="22" eb="23">
      <t>ニ</t>
    </rPh>
    <rPh sb="25" eb="26">
      <t>コト</t>
    </rPh>
    <rPh sb="27" eb="28">
      <t>カナ</t>
    </rPh>
    <rPh sb="35" eb="36">
      <t>マネ</t>
    </rPh>
    <phoneticPr fontId="1"/>
  </si>
  <si>
    <t>　　エレメンタル・マインは機会攻撃を誘発してしまうので、ついでに狙うのは困難なのが残念・・・。</t>
    <rPh sb="13" eb="15">
      <t>キカイ</t>
    </rPh>
    <rPh sb="15" eb="17">
      <t>コウゲキ</t>
    </rPh>
    <rPh sb="18" eb="20">
      <t>ユウハツ</t>
    </rPh>
    <rPh sb="32" eb="33">
      <t>ネラ</t>
    </rPh>
    <rPh sb="36" eb="38">
      <t>コンナン</t>
    </rPh>
    <rPh sb="41" eb="43">
      <t>ザンネン</t>
    </rPh>
    <phoneticPr fontId="1"/>
  </si>
  <si>
    <t>　　ダメージが高い上に味方を巻き込めるので気楽だが、射程がアレでは積極的に狙い難し。</t>
    <rPh sb="9" eb="10">
      <t>ウエ</t>
    </rPh>
    <rPh sb="11" eb="13">
      <t>ミカタ</t>
    </rPh>
    <rPh sb="14" eb="15">
      <t>マ</t>
    </rPh>
    <rPh sb="16" eb="17">
      <t>コ</t>
    </rPh>
    <rPh sb="21" eb="23">
      <t>キラク</t>
    </rPh>
    <rPh sb="26" eb="28">
      <t>シャテイ</t>
    </rPh>
    <rPh sb="33" eb="36">
      <t>セッキョクテキ</t>
    </rPh>
    <rPh sb="37" eb="38">
      <t>ネラ</t>
    </rPh>
    <rPh sb="39" eb="40">
      <t>ガタ</t>
    </rPh>
    <phoneticPr fontId="1"/>
  </si>
  <si>
    <t>　　エレメンタル・マインは味方を巻き込むので、安全に狙える状況は著しく限定される。</t>
    <rPh sb="13" eb="15">
      <t>ミカタ</t>
    </rPh>
    <rPh sb="16" eb="17">
      <t>マ</t>
    </rPh>
    <rPh sb="18" eb="19">
      <t>コ</t>
    </rPh>
    <rPh sb="23" eb="25">
      <t>アンゼン</t>
    </rPh>
    <rPh sb="26" eb="27">
      <t>ネラ</t>
    </rPh>
    <rPh sb="29" eb="31">
      <t>ジョウキョウ</t>
    </rPh>
    <rPh sb="32" eb="33">
      <t>イチジル</t>
    </rPh>
    <rPh sb="35" eb="37">
      <t>ゲンテイ</t>
    </rPh>
    <phoneticPr fontId="1"/>
  </si>
  <si>
    <t>　　わざわざスミスが味方をケアしながら敵に接近するとなると、ミス時はかなりのピンチに・・・。</t>
    <rPh sb="19" eb="20">
      <t>テキ</t>
    </rPh>
    <rPh sb="21" eb="23">
      <t>セッキン</t>
    </rPh>
    <rPh sb="32" eb="33">
      <t>ジ</t>
    </rPh>
    <phoneticPr fontId="1"/>
  </si>
  <si>
    <t>①スミスが敵に囲まれちゃった対策</t>
    <rPh sb="5" eb="6">
      <t>テキ</t>
    </rPh>
    <rPh sb="7" eb="8">
      <t>カコ</t>
    </rPh>
    <rPh sb="14" eb="16">
      <t>タイサク</t>
    </rPh>
    <phoneticPr fontId="1"/>
  </si>
  <si>
    <t>　　味方のインチキ重傷で幻惑は狙い易そうだが、それでも押しやり故に味方との位置調整が困難。</t>
    <rPh sb="2" eb="4">
      <t>ミカタ</t>
    </rPh>
    <rPh sb="9" eb="11">
      <t>ジュウショウ</t>
    </rPh>
    <rPh sb="12" eb="14">
      <t>ゲンワク</t>
    </rPh>
    <rPh sb="15" eb="16">
      <t>ネラ</t>
    </rPh>
    <rPh sb="17" eb="18">
      <t>ヤス</t>
    </rPh>
    <rPh sb="27" eb="28">
      <t>オ</t>
    </rPh>
    <rPh sb="31" eb="32">
      <t>ユエ</t>
    </rPh>
    <rPh sb="33" eb="35">
      <t>ミカタ</t>
    </rPh>
    <rPh sb="37" eb="39">
      <t>イチ</t>
    </rPh>
    <rPh sb="39" eb="41">
      <t>チョウセイ</t>
    </rPh>
    <rPh sb="42" eb="44">
      <t>コンナン</t>
    </rPh>
    <phoneticPr fontId="1"/>
  </si>
  <si>
    <t>　　エレメンタル・マインは味方を巻き込むので、ついでに狙うのはやはり困難。</t>
    <rPh sb="13" eb="15">
      <t>ミカタ</t>
    </rPh>
    <rPh sb="16" eb="17">
      <t>マ</t>
    </rPh>
    <rPh sb="18" eb="19">
      <t>コ</t>
    </rPh>
    <rPh sb="27" eb="28">
      <t>ネラ</t>
    </rPh>
    <rPh sb="34" eb="36">
      <t>コンナン</t>
    </rPh>
    <phoneticPr fontId="1"/>
  </si>
  <si>
    <t>使用者の次T終了まで動けない状態になるだけ</t>
    <rPh sb="0" eb="3">
      <t>シヨウシャ</t>
    </rPh>
    <rPh sb="6" eb="8">
      <t>シュウリョウ</t>
    </rPh>
    <phoneticPr fontId="1"/>
  </si>
  <si>
    <r>
      <t>（</t>
    </r>
    <r>
      <rPr>
        <b/>
        <sz val="11"/>
        <color rgb="FFFF0000"/>
        <rFont val="ＭＳ Ｐゴシック"/>
        <family val="3"/>
        <charset val="128"/>
        <scheme val="minor"/>
      </rPr>
      <t>このクリーチャーに命令を与えるのはＦＡである</t>
    </r>
    <r>
      <rPr>
        <sz val="11"/>
        <rFont val="ＭＳ Ｐゴシック"/>
        <family val="3"/>
        <charset val="128"/>
        <scheme val="minor"/>
      </rPr>
      <t>）</t>
    </r>
    <rPh sb="10" eb="12">
      <t>メイレイ</t>
    </rPh>
    <rPh sb="13" eb="14">
      <t>アタ</t>
    </rPh>
    <phoneticPr fontId="1"/>
  </si>
  <si>
    <t>使用者と同じイニシアチブ順において、使用者が与えた命令に基づいて自分のＴの行動を行う。</t>
    <rPh sb="0" eb="2">
      <t>シヨウ</t>
    </rPh>
    <rPh sb="2" eb="3">
      <t>シャ</t>
    </rPh>
    <rPh sb="4" eb="5">
      <t>オナ</t>
    </rPh>
    <rPh sb="12" eb="13">
      <t>ジュン</t>
    </rPh>
    <rPh sb="18" eb="21">
      <t>シヨウシャ</t>
    </rPh>
    <rPh sb="22" eb="23">
      <t>アタ</t>
    </rPh>
    <rPh sb="25" eb="27">
      <t>メイレイ</t>
    </rPh>
    <rPh sb="28" eb="29">
      <t>モト</t>
    </rPh>
    <rPh sb="32" eb="34">
      <t>ジブン</t>
    </rPh>
    <rPh sb="37" eb="39">
      <t>コウドウ</t>
    </rPh>
    <phoneticPr fontId="1"/>
  </si>
  <si>
    <t>・”同じイニシアチブ順”って事は、やはり使用者と同一ターンに平行して行動可能と考えるのが妥当か？</t>
    <rPh sb="14" eb="15">
      <t>コト</t>
    </rPh>
    <rPh sb="20" eb="23">
      <t>シヨウシャ</t>
    </rPh>
    <rPh sb="24" eb="26">
      <t>ドウイツ</t>
    </rPh>
    <rPh sb="30" eb="32">
      <t>ヘイコウ</t>
    </rPh>
    <rPh sb="34" eb="36">
      <t>コウドウ</t>
    </rPh>
    <rPh sb="36" eb="38">
      <t>カノウ</t>
    </rPh>
    <rPh sb="39" eb="40">
      <t>カンガ</t>
    </rPh>
    <rPh sb="44" eb="46">
      <t>ダトウ</t>
    </rPh>
    <phoneticPr fontId="1"/>
  </si>
  <si>
    <t>・片手を空けずに使用するの厳禁！　（早抜きが無いとアイテム使用だけで２アクション必要）</t>
    <rPh sb="1" eb="3">
      <t>カタテ</t>
    </rPh>
    <rPh sb="4" eb="5">
      <t>ア</t>
    </rPh>
    <rPh sb="8" eb="10">
      <t>シヨウ</t>
    </rPh>
    <rPh sb="13" eb="15">
      <t>ゲンキン</t>
    </rPh>
    <rPh sb="18" eb="19">
      <t>ハヤ</t>
    </rPh>
    <rPh sb="19" eb="20">
      <t>ヌ</t>
    </rPh>
    <rPh sb="22" eb="23">
      <t>ナ</t>
    </rPh>
    <rPh sb="29" eb="31">
      <t>シヨウ</t>
    </rPh>
    <rPh sb="40" eb="42">
      <t>ヒツヨウ</t>
    </rPh>
    <phoneticPr fontId="1"/>
  </si>
  <si>
    <t>以上の点から導き出される結論は</t>
    <rPh sb="0" eb="2">
      <t>イジョウ</t>
    </rPh>
    <rPh sb="3" eb="4">
      <t>テン</t>
    </rPh>
    <rPh sb="6" eb="7">
      <t>ミチビ</t>
    </rPh>
    <rPh sb="8" eb="9">
      <t>ダ</t>
    </rPh>
    <rPh sb="12" eb="14">
      <t>ケツロン</t>
    </rPh>
    <phoneticPr fontId="1"/>
  </si>
  <si>
    <t>④味方の 《ただでは転ばぬ奴》 トリガー</t>
    <rPh sb="1" eb="3">
      <t>ミカタ</t>
    </rPh>
    <phoneticPr fontId="1"/>
  </si>
  <si>
    <t>　　無限回の保護の誓約の代用品と考えればかなり優秀だが、比較すれば有効範囲は狭い。</t>
    <rPh sb="2" eb="4">
      <t>ムゲン</t>
    </rPh>
    <rPh sb="4" eb="5">
      <t>カイ</t>
    </rPh>
    <rPh sb="12" eb="15">
      <t>ダイヨウヒン</t>
    </rPh>
    <rPh sb="16" eb="17">
      <t>カンガ</t>
    </rPh>
    <rPh sb="23" eb="25">
      <t>ユウシュウ</t>
    </rPh>
    <rPh sb="28" eb="30">
      <t>ヒカク</t>
    </rPh>
    <rPh sb="33" eb="35">
      <t>ユウコウ</t>
    </rPh>
    <rPh sb="35" eb="37">
      <t>ハンイ</t>
    </rPh>
    <rPh sb="38" eb="39">
      <t>セマ</t>
    </rPh>
    <phoneticPr fontId="1"/>
  </si>
  <si>
    <t>・長期戦における安定した 《ただでは転ばぬ奴》 トリガー</t>
    <rPh sb="1" eb="4">
      <t>チョウキセン</t>
    </rPh>
    <rPh sb="8" eb="10">
      <t>アンテイ</t>
    </rPh>
    <phoneticPr fontId="1"/>
  </si>
  <si>
    <t>・前線から離れるようなプレイとの両立は完全に無理</t>
    <rPh sb="1" eb="3">
      <t>ゼンセン</t>
    </rPh>
    <rPh sb="5" eb="6">
      <t>ハナ</t>
    </rPh>
    <rPh sb="16" eb="18">
      <t>リョウリツ</t>
    </rPh>
    <rPh sb="19" eb="21">
      <t>カンゼン</t>
    </rPh>
    <rPh sb="22" eb="24">
      <t>ムリ</t>
    </rPh>
    <phoneticPr fontId="1"/>
  </si>
  <si>
    <t>という事に。</t>
    <rPh sb="3" eb="4">
      <t>コト</t>
    </rPh>
    <phoneticPr fontId="1"/>
  </si>
  <si>
    <t>むしろ保護の誓約の優秀さを再確認する結果に・・・。</t>
    <rPh sb="3" eb="5">
      <t>ホゴ</t>
    </rPh>
    <rPh sb="9" eb="11">
      <t>ユウシュウ</t>
    </rPh>
    <rPh sb="13" eb="16">
      <t>サイカクニン</t>
    </rPh>
    <rPh sb="18" eb="20">
      <t>ケッカ</t>
    </rPh>
    <phoneticPr fontId="1"/>
  </si>
  <si>
    <t>・大音声を前提としたプレイとの両立も無理</t>
    <rPh sb="1" eb="4">
      <t>ダイオンセイ</t>
    </rPh>
    <rPh sb="5" eb="7">
      <t>ゼンテイ</t>
    </rPh>
    <phoneticPr fontId="1"/>
  </si>
  <si>
    <t>防御値：使用者の防御値、ただし一時的なボーナスやペナルティは含まれない。</t>
    <rPh sb="0" eb="2">
      <t>ボウギョ</t>
    </rPh>
    <rPh sb="2" eb="3">
      <t>チ</t>
    </rPh>
    <rPh sb="4" eb="7">
      <t>シヨウシャ</t>
    </rPh>
    <rPh sb="8" eb="10">
      <t>ボウギョ</t>
    </rPh>
    <rPh sb="10" eb="11">
      <t>チ</t>
    </rPh>
    <rPh sb="15" eb="18">
      <t>イチジテキ</t>
    </rPh>
    <rPh sb="30" eb="31">
      <t>フク</t>
    </rPh>
    <phoneticPr fontId="1"/>
  </si>
  <si>
    <t>①無限回範囲攻撃</t>
    <rPh sb="1" eb="3">
      <t>ムゲン</t>
    </rPh>
    <rPh sb="3" eb="4">
      <t>カイ</t>
    </rPh>
    <rPh sb="4" eb="6">
      <t>ハンイ</t>
    </rPh>
    <rPh sb="6" eb="8">
      <t>コウゲキ</t>
    </rPh>
    <phoneticPr fontId="1"/>
  </si>
  <si>
    <t>　　盲目等、本体へのペナルティや大群を対策可能なので、保険としては優秀。</t>
    <rPh sb="2" eb="4">
      <t>モウモク</t>
    </rPh>
    <rPh sb="4" eb="5">
      <t>トウ</t>
    </rPh>
    <rPh sb="6" eb="8">
      <t>ホンタイ</t>
    </rPh>
    <rPh sb="16" eb="18">
      <t>タイグン</t>
    </rPh>
    <rPh sb="19" eb="21">
      <t>タイサク</t>
    </rPh>
    <rPh sb="21" eb="23">
      <t>カノウ</t>
    </rPh>
    <rPh sb="27" eb="29">
      <t>ホケン</t>
    </rPh>
    <rPh sb="33" eb="35">
      <t>ユウシュウ</t>
    </rPh>
    <phoneticPr fontId="1"/>
  </si>
  <si>
    <t>①味方の 《ただでは転ばぬ奴》 トリガー　（味方の強制移動が色々と充実？）</t>
    <rPh sb="1" eb="3">
      <t>ミカタ</t>
    </rPh>
    <rPh sb="10" eb="11">
      <t>コロ</t>
    </rPh>
    <rPh sb="13" eb="14">
      <t>ヤツ</t>
    </rPh>
    <rPh sb="22" eb="24">
      <t>ミカタ</t>
    </rPh>
    <rPh sb="25" eb="27">
      <t>キョウセイ</t>
    </rPh>
    <rPh sb="27" eb="29">
      <t>イドウ</t>
    </rPh>
    <rPh sb="30" eb="32">
      <t>イロイロ</t>
    </rPh>
    <rPh sb="33" eb="35">
      <t>ジュウジツ</t>
    </rPh>
    <phoneticPr fontId="1"/>
  </si>
  <si>
    <t>フラスク・オヴ・ザ・ウェイルド・ホード</t>
    <phoneticPr fontId="1"/>
  </si>
  <si>
    <t>エッセンシャル仕様の召喚はルールが全然違う！</t>
    <rPh sb="7" eb="9">
      <t>シヨウ</t>
    </rPh>
    <rPh sb="10" eb="12">
      <t>ショウカン</t>
    </rPh>
    <rPh sb="17" eb="19">
      <t>ゼンゼン</t>
    </rPh>
    <rPh sb="19" eb="20">
      <t>チガ</t>
    </rPh>
    <phoneticPr fontId="1"/>
  </si>
  <si>
    <t>スミスに関して言えば、フレイム・ゼファーは他の召喚とルールが全く違う。</t>
    <rPh sb="4" eb="5">
      <t>カン</t>
    </rPh>
    <rPh sb="7" eb="8">
      <t>イ</t>
    </rPh>
    <rPh sb="21" eb="22">
      <t>ホカ</t>
    </rPh>
    <rPh sb="23" eb="25">
      <t>ショウカン</t>
    </rPh>
    <rPh sb="30" eb="31">
      <t>マッタ</t>
    </rPh>
    <rPh sb="32" eb="33">
      <t>チガ</t>
    </rPh>
    <phoneticPr fontId="1"/>
  </si>
  <si>
    <r>
      <t>・</t>
    </r>
    <r>
      <rPr>
        <b/>
        <sz val="11"/>
        <color rgb="FFFF0000"/>
        <rFont val="ＭＳ Ｐゴシック"/>
        <family val="3"/>
        <charset val="128"/>
        <scheme val="minor"/>
      </rPr>
      <t>効果線が通って無くても命令が可能</t>
    </r>
    <rPh sb="1" eb="3">
      <t>コウカ</t>
    </rPh>
    <rPh sb="3" eb="4">
      <t>セン</t>
    </rPh>
    <rPh sb="5" eb="6">
      <t>トオ</t>
    </rPh>
    <rPh sb="8" eb="9">
      <t>ナ</t>
    </rPh>
    <rPh sb="12" eb="14">
      <t>メイレイ</t>
    </rPh>
    <rPh sb="15" eb="17">
      <t>カノウ</t>
    </rPh>
    <phoneticPr fontId="1"/>
  </si>
  <si>
    <t>・マイナー・アクションでの移動アクションが特殊命令扱いで１Ｒ１回縛りに引っかかる</t>
    <rPh sb="13" eb="15">
      <t>イドウ</t>
    </rPh>
    <rPh sb="21" eb="23">
      <t>トクシュ</t>
    </rPh>
    <rPh sb="23" eb="25">
      <t>メイレイ</t>
    </rPh>
    <rPh sb="25" eb="26">
      <t>アツカ</t>
    </rPh>
    <rPh sb="31" eb="32">
      <t>カイ</t>
    </rPh>
    <rPh sb="32" eb="33">
      <t>シバ</t>
    </rPh>
    <rPh sb="35" eb="36">
      <t>ヒ</t>
    </rPh>
    <phoneticPr fontId="1"/>
  </si>
  <si>
    <t>・機会攻撃が不可能</t>
    <rPh sb="1" eb="3">
      <t>キカイ</t>
    </rPh>
    <rPh sb="3" eb="5">
      <t>コウゲキ</t>
    </rPh>
    <rPh sb="6" eb="9">
      <t>フカノウ</t>
    </rPh>
    <phoneticPr fontId="1"/>
  </si>
  <si>
    <t>総合的に判断すると、やはり通常の召喚の方が優秀と言えるだろう。</t>
    <rPh sb="0" eb="2">
      <t>ソウゴウ</t>
    </rPh>
    <rPh sb="2" eb="3">
      <t>テキ</t>
    </rPh>
    <rPh sb="4" eb="6">
      <t>ハンダン</t>
    </rPh>
    <rPh sb="13" eb="15">
      <t>ツウジョウ</t>
    </rPh>
    <rPh sb="16" eb="18">
      <t>ショウカン</t>
    </rPh>
    <rPh sb="19" eb="20">
      <t>ホウ</t>
    </rPh>
    <rPh sb="21" eb="23">
      <t>ユウシュウ</t>
    </rPh>
    <rPh sb="24" eb="25">
      <t>イ</t>
    </rPh>
    <phoneticPr fontId="1"/>
  </si>
  <si>
    <t>エッセンシャル仕様の召喚には独自の味わいがあるのも事実だが、</t>
    <rPh sb="7" eb="9">
      <t>シヨウ</t>
    </rPh>
    <rPh sb="10" eb="12">
      <t>ショウカン</t>
    </rPh>
    <rPh sb="14" eb="16">
      <t>ドクジ</t>
    </rPh>
    <rPh sb="17" eb="18">
      <t>アジ</t>
    </rPh>
    <rPh sb="25" eb="27">
      <t>ジジツ</t>
    </rPh>
    <phoneticPr fontId="1"/>
  </si>
  <si>
    <t>ハッキリ言って、召喚及び創造パワーと相性が悪い。</t>
    <rPh sb="4" eb="5">
      <t>イ</t>
    </rPh>
    <rPh sb="8" eb="10">
      <t>ショウカン</t>
    </rPh>
    <rPh sb="10" eb="11">
      <t>オヨ</t>
    </rPh>
    <rPh sb="12" eb="14">
      <t>ソウゾウ</t>
    </rPh>
    <rPh sb="18" eb="20">
      <t>アイショウ</t>
    </rPh>
    <rPh sb="21" eb="22">
      <t>ワル</t>
    </rPh>
    <phoneticPr fontId="1"/>
  </si>
  <si>
    <t>・出目１９、２０クリティカルは召喚に適用されない</t>
    <rPh sb="1" eb="3">
      <t>デメ</t>
    </rPh>
    <rPh sb="15" eb="17">
      <t>ショウカン</t>
    </rPh>
    <rPh sb="18" eb="20">
      <t>テキヨウ</t>
    </rPh>
    <phoneticPr fontId="1"/>
  </si>
  <si>
    <t>・元々、本体が幻惑すると無力化され易い　（細かく本体のアクションが必要、機会攻撃 etc ）</t>
    <rPh sb="1" eb="3">
      <t>モトモト</t>
    </rPh>
    <rPh sb="4" eb="6">
      <t>ホンタイ</t>
    </rPh>
    <rPh sb="7" eb="9">
      <t>ゲンワク</t>
    </rPh>
    <rPh sb="12" eb="15">
      <t>ムリョクカ</t>
    </rPh>
    <rPh sb="17" eb="18">
      <t>ヤス</t>
    </rPh>
    <rPh sb="21" eb="22">
      <t>コマ</t>
    </rPh>
    <rPh sb="24" eb="26">
      <t>ホンタイ</t>
    </rPh>
    <rPh sb="33" eb="35">
      <t>ヒツヨウ</t>
    </rPh>
    <rPh sb="36" eb="40">
      <t>キカイコウゲキ</t>
    </rPh>
    <phoneticPr fontId="1"/>
  </si>
  <si>
    <t>大音声を重視するならば今後、召喚や創造パワーの比重を下げるのも１つの手か・・・。</t>
    <rPh sb="0" eb="3">
      <t>ダイオンセイ</t>
    </rPh>
    <rPh sb="4" eb="6">
      <t>ジュウシ</t>
    </rPh>
    <rPh sb="11" eb="13">
      <t>コンゴ</t>
    </rPh>
    <rPh sb="14" eb="16">
      <t>ショウカン</t>
    </rPh>
    <rPh sb="17" eb="19">
      <t>ソウゾウ</t>
    </rPh>
    <rPh sb="23" eb="25">
      <t>ヒジュウ</t>
    </rPh>
    <rPh sb="26" eb="27">
      <t>サ</t>
    </rPh>
    <rPh sb="34" eb="35">
      <t>テ</t>
    </rPh>
    <phoneticPr fontId="1"/>
  </si>
  <si>
    <t>それともプレイにメリハリ付けて解決すべき問題なのか？</t>
    <rPh sb="12" eb="13">
      <t>ツ</t>
    </rPh>
    <rPh sb="15" eb="17">
      <t>カイケツ</t>
    </rPh>
    <rPh sb="20" eb="22">
      <t>モンダイ</t>
    </rPh>
    <phoneticPr fontId="1"/>
  </si>
  <si>
    <t>ここにきて他にも色々と矛盾したコンセプトが目立ってきた印象が・・・。</t>
    <rPh sb="5" eb="6">
      <t>ホカ</t>
    </rPh>
    <rPh sb="8" eb="10">
      <t>イロイロ</t>
    </rPh>
    <rPh sb="11" eb="13">
      <t>ムジュン</t>
    </rPh>
    <rPh sb="21" eb="23">
      <t>メダ</t>
    </rPh>
    <rPh sb="27" eb="29">
      <t>インショウ</t>
    </rPh>
    <phoneticPr fontId="1"/>
  </si>
  <si>
    <t>受動&lt;知覚&gt;</t>
    <rPh sb="0" eb="2">
      <t>ジュドウ</t>
    </rPh>
    <rPh sb="3" eb="5">
      <t>チカク</t>
    </rPh>
    <phoneticPr fontId="1"/>
  </si>
  <si>
    <t>受動&lt;看破&gt;</t>
    <rPh sb="0" eb="2">
      <t>ジュドウ</t>
    </rPh>
    <rPh sb="3" eb="5">
      <t>カンパ</t>
    </rPh>
    <phoneticPr fontId="1"/>
  </si>
  <si>
    <t>基本値</t>
    <rPh sb="0" eb="2">
      <t>キホン</t>
    </rPh>
    <rPh sb="2" eb="3">
      <t>チ</t>
    </rPh>
    <phoneticPr fontId="1"/>
  </si>
  <si>
    <t>技能値</t>
    <phoneticPr fontId="1"/>
  </si>
  <si>
    <t>受動感覚</t>
    <rPh sb="0" eb="2">
      <t>ジュドウ</t>
    </rPh>
    <rPh sb="2" eb="4">
      <t>カンカク</t>
    </rPh>
    <phoneticPr fontId="1"/>
  </si>
  <si>
    <t>値</t>
    <rPh sb="0" eb="1">
      <t>アタイ</t>
    </rPh>
    <phoneticPr fontId="1"/>
  </si>
  <si>
    <t>【知】</t>
    <rPh sb="1" eb="2">
      <t>チ</t>
    </rPh>
    <phoneticPr fontId="1"/>
  </si>
  <si>
    <t>&lt;歴史&gt;</t>
    <rPh sb="1" eb="3">
      <t>レキシ</t>
    </rPh>
    <phoneticPr fontId="1"/>
  </si>
  <si>
    <t>&lt;魔法学&gt;</t>
    <rPh sb="1" eb="3">
      <t>マホウ</t>
    </rPh>
    <rPh sb="3" eb="4">
      <t>ガク</t>
    </rPh>
    <phoneticPr fontId="1"/>
  </si>
  <si>
    <t>【魅】</t>
    <rPh sb="1" eb="2">
      <t>ミ</t>
    </rPh>
    <phoneticPr fontId="1"/>
  </si>
  <si>
    <t>&lt;はったり&gt;</t>
    <phoneticPr fontId="1"/>
  </si>
  <si>
    <t>【敏】</t>
    <rPh sb="1" eb="2">
      <t>トシ</t>
    </rPh>
    <phoneticPr fontId="1"/>
  </si>
  <si>
    <t>&lt;盗賊&gt;</t>
    <rPh sb="1" eb="3">
      <t>トウゾク</t>
    </rPh>
    <phoneticPr fontId="1"/>
  </si>
  <si>
    <t>【判】</t>
    <rPh sb="1" eb="2">
      <t>ハン</t>
    </rPh>
    <phoneticPr fontId="1"/>
  </si>
  <si>
    <t>&lt;治癒&gt;</t>
    <rPh sb="1" eb="3">
      <t>チユ</t>
    </rPh>
    <phoneticPr fontId="1"/>
  </si>
  <si>
    <t>&lt;地下探検&gt;</t>
    <rPh sb="1" eb="3">
      <t>チカ</t>
    </rPh>
    <rPh sb="3" eb="5">
      <t>タンケン</t>
    </rPh>
    <phoneticPr fontId="1"/>
  </si>
  <si>
    <t>&lt;知覚&gt;</t>
    <rPh sb="1" eb="3">
      <t>チカク</t>
    </rPh>
    <phoneticPr fontId="1"/>
  </si>
  <si>
    <t>&lt;宗教&gt;</t>
    <rPh sb="1" eb="3">
      <t>シュウキョウ</t>
    </rPh>
    <phoneticPr fontId="1"/>
  </si>
  <si>
    <t>&lt;自然&gt;</t>
    <rPh sb="1" eb="3">
      <t>シゼン</t>
    </rPh>
    <phoneticPr fontId="1"/>
  </si>
  <si>
    <t>&lt;事情通&gt;</t>
    <rPh sb="1" eb="3">
      <t>ジジョウ</t>
    </rPh>
    <rPh sb="3" eb="4">
      <t>ツウ</t>
    </rPh>
    <phoneticPr fontId="1"/>
  </si>
  <si>
    <t>【耐】</t>
    <rPh sb="1" eb="2">
      <t>タイ</t>
    </rPh>
    <phoneticPr fontId="1"/>
  </si>
  <si>
    <t>&lt;持久力&gt;</t>
    <rPh sb="1" eb="4">
      <t>ジキュウリョク</t>
    </rPh>
    <phoneticPr fontId="1"/>
  </si>
  <si>
    <t>&lt;交渉&gt;</t>
    <rPh sb="1" eb="3">
      <t>コウショウ</t>
    </rPh>
    <phoneticPr fontId="1"/>
  </si>
  <si>
    <t>&lt;看破&gt;</t>
    <rPh sb="1" eb="3">
      <t>カンパ</t>
    </rPh>
    <phoneticPr fontId="1"/>
  </si>
  <si>
    <t>&lt;軽業&gt;</t>
    <rPh sb="1" eb="3">
      <t>カルワザ</t>
    </rPh>
    <phoneticPr fontId="1"/>
  </si>
  <si>
    <t>&lt;隠密&gt;</t>
    <rPh sb="1" eb="3">
      <t>オンミツ</t>
    </rPh>
    <phoneticPr fontId="1"/>
  </si>
  <si>
    <t>【筋】</t>
    <rPh sb="1" eb="2">
      <t>キン</t>
    </rPh>
    <phoneticPr fontId="1"/>
  </si>
  <si>
    <t>&lt;運動&gt;</t>
    <rPh sb="1" eb="3">
      <t>ウンドウ</t>
    </rPh>
    <phoneticPr fontId="1"/>
  </si>
  <si>
    <t>&lt;威圧&gt;</t>
    <rPh sb="1" eb="3">
      <t>イアツ</t>
    </rPh>
    <phoneticPr fontId="1"/>
  </si>
  <si>
    <t>その他</t>
    <rPh sb="2" eb="3">
      <t>タ</t>
    </rPh>
    <phoneticPr fontId="1"/>
  </si>
  <si>
    <t>防具
ペナ</t>
    <rPh sb="0" eb="2">
      <t>ボウグ</t>
    </rPh>
    <phoneticPr fontId="1"/>
  </si>
  <si>
    <t>能力+Lv1/2</t>
    <rPh sb="0" eb="2">
      <t>ノウリョク</t>
    </rPh>
    <phoneticPr fontId="1"/>
  </si>
  <si>
    <t>防具ペナルティ</t>
    <rPh sb="0" eb="2">
      <t>ボウグ</t>
    </rPh>
    <phoneticPr fontId="1"/>
  </si>
  <si>
    <t>　　魔法的または元素的なものであるポータルやゲートに類するものを</t>
    <phoneticPr fontId="49"/>
  </si>
  <si>
    <t xml:space="preserve">　　そのポータルに罠が掛かってていたり危険であったり、目的地が危険な場所である場合、
</t>
    <phoneticPr fontId="49"/>
  </si>
  <si>
    <t>　　君は自分のレベルの通常の難易度の&lt;魔法学&gt;判定に成功すればそれらの危険性に気が付く。</t>
    <phoneticPr fontId="49"/>
  </si>
  <si>
    <t>Lv</t>
    <phoneticPr fontId="26"/>
  </si>
  <si>
    <t>種類</t>
    <rPh sb="0" eb="2">
      <t>シュルイ</t>
    </rPh>
    <phoneticPr fontId="26"/>
  </si>
  <si>
    <t>儀式</t>
    <rPh sb="0" eb="2">
      <t>ギシキ</t>
    </rPh>
    <phoneticPr fontId="26"/>
  </si>
  <si>
    <t>ここは印刷されませんが、赤字の値の入力で計算が行われます。</t>
    <rPh sb="3" eb="5">
      <t>インサツ</t>
    </rPh>
    <rPh sb="12" eb="14">
      <t>アカジ</t>
    </rPh>
    <rPh sb="15" eb="16">
      <t>アタイ</t>
    </rPh>
    <rPh sb="17" eb="19">
      <t>ニュウリョク</t>
    </rPh>
    <rPh sb="20" eb="22">
      <t>ケイサン</t>
    </rPh>
    <rPh sb="23" eb="24">
      <t>オコナ</t>
    </rPh>
    <phoneticPr fontId="26"/>
  </si>
  <si>
    <t>パワー名</t>
    <rPh sb="3" eb="4">
      <t>メイ</t>
    </rPh>
    <phoneticPr fontId="26"/>
  </si>
  <si>
    <t>スピーク・ウィズ・デッド</t>
    <phoneticPr fontId="26"/>
  </si>
  <si>
    <t>赤字以外の内容は変更しないでください。</t>
    <rPh sb="0" eb="2">
      <t>アカジ</t>
    </rPh>
    <rPh sb="2" eb="4">
      <t>イガイ</t>
    </rPh>
    <rPh sb="5" eb="7">
      <t>ナイヨウ</t>
    </rPh>
    <rPh sb="8" eb="10">
      <t>ヘンコウ</t>
    </rPh>
    <phoneticPr fontId="26"/>
  </si>
  <si>
    <t>パワー詳細</t>
    <rPh sb="3" eb="5">
      <t>ショウサイ</t>
    </rPh>
    <phoneticPr fontId="26"/>
  </si>
  <si>
    <t>タイプ・出典</t>
    <rPh sb="4" eb="6">
      <t>シュッテン</t>
    </rPh>
    <phoneticPr fontId="26"/>
  </si>
  <si>
    <t>儀式/　(ＰＨＢ308)</t>
    <rPh sb="0" eb="2">
      <t>ギシキ</t>
    </rPh>
    <phoneticPr fontId="26"/>
  </si>
  <si>
    <t>系統</t>
    <rPh sb="0" eb="2">
      <t>ケイトウ</t>
    </rPh>
    <phoneticPr fontId="26"/>
  </si>
  <si>
    <t>探検</t>
    <rPh sb="0" eb="2">
      <t>タンケン</t>
    </rPh>
    <phoneticPr fontId="26"/>
  </si>
  <si>
    <t>構成要素費用</t>
    <rPh sb="0" eb="2">
      <t>コウセイ</t>
    </rPh>
    <rPh sb="2" eb="4">
      <t>ヨウソ</t>
    </rPh>
    <rPh sb="4" eb="6">
      <t>ヒヨウ</t>
    </rPh>
    <phoneticPr fontId="26"/>
  </si>
  <si>
    <t>140ｇｐ</t>
    <phoneticPr fontId="26"/>
  </si>
  <si>
    <t>射程</t>
    <rPh sb="0" eb="2">
      <t>シャテイ</t>
    </rPh>
    <phoneticPr fontId="26"/>
  </si>
  <si>
    <t>近接</t>
    <rPh sb="0" eb="2">
      <t>キンセツ</t>
    </rPh>
    <phoneticPr fontId="26"/>
  </si>
  <si>
    <t>武器</t>
    <rPh sb="0" eb="2">
      <t>ブキ</t>
    </rPh>
    <phoneticPr fontId="26"/>
  </si>
  <si>
    <t>執行時間</t>
    <rPh sb="0" eb="2">
      <t>シッコウ</t>
    </rPh>
    <rPh sb="2" eb="4">
      <t>ジカン</t>
    </rPh>
    <phoneticPr fontId="26"/>
  </si>
  <si>
    <t>１０分</t>
    <rPh sb="2" eb="3">
      <t>フン</t>
    </rPh>
    <phoneticPr fontId="26"/>
  </si>
  <si>
    <t>市価</t>
    <rPh sb="0" eb="2">
      <t>シカ</t>
    </rPh>
    <phoneticPr fontId="26"/>
  </si>
  <si>
    <t>360gp</t>
    <phoneticPr fontId="26"/>
  </si>
  <si>
    <t>効果範囲</t>
    <rPh sb="0" eb="2">
      <t>コウカ</t>
    </rPh>
    <rPh sb="2" eb="4">
      <t>ハンイ</t>
    </rPh>
    <phoneticPr fontId="26"/>
  </si>
  <si>
    <t>持続時間</t>
    <rPh sb="0" eb="2">
      <t>ジゾク</t>
    </rPh>
    <rPh sb="2" eb="4">
      <t>ジカン</t>
    </rPh>
    <phoneticPr fontId="26"/>
  </si>
  <si>
    <t>対応技能</t>
    <rPh sb="0" eb="2">
      <t>タイオウ</t>
    </rPh>
    <rPh sb="2" eb="4">
      <t>ギノウ</t>
    </rPh>
    <phoneticPr fontId="26"/>
  </si>
  <si>
    <t>&lt;宗教&gt;</t>
    <rPh sb="1" eb="3">
      <t>シュウキョウ</t>
    </rPh>
    <phoneticPr fontId="26"/>
  </si>
  <si>
    <t>攻撃方法</t>
    <rPh sb="0" eb="2">
      <t>コウゲキ</t>
    </rPh>
    <rPh sb="2" eb="4">
      <t>ホウホウ</t>
    </rPh>
    <phoneticPr fontId="26"/>
  </si>
  <si>
    <t>近接基礎</t>
  </si>
  <si>
    <t>↓能力値修正</t>
    <rPh sb="1" eb="4">
      <t>ノウリョクチ</t>
    </rPh>
    <rPh sb="4" eb="6">
      <t>シュウセイ</t>
    </rPh>
    <phoneticPr fontId="26"/>
  </si>
  <si>
    <t>執行者は知的クリーチャーの死体lつに対していくつかの質問を行ない、その答えをもらう。</t>
    <phoneticPr fontId="49"/>
  </si>
  <si>
    <t>攻撃R対象</t>
    <rPh sb="0" eb="2">
      <t>コウゲキ</t>
    </rPh>
    <rPh sb="3" eb="5">
      <t>タイショウ</t>
    </rPh>
    <phoneticPr fontId="26"/>
  </si>
  <si>
    <t>筋力</t>
    <rPh sb="0" eb="2">
      <t>キンリョク</t>
    </rPh>
    <phoneticPr fontId="26"/>
  </si>
  <si>
    <t>死体が知っているのは、そのクリーチャーが生前に知っていたことと</t>
    <phoneticPr fontId="49"/>
  </si>
  <si>
    <t>命中Rパワー修正</t>
    <rPh sb="0" eb="2">
      <t>メイチュウ</t>
    </rPh>
    <rPh sb="6" eb="8">
      <t>シュウセイ</t>
    </rPh>
    <phoneticPr fontId="26"/>
  </si>
  <si>
    <t>攻撃Rボーナス</t>
    <rPh sb="0" eb="2">
      <t>コウゲキ</t>
    </rPh>
    <phoneticPr fontId="26"/>
  </si>
  <si>
    <t>死体の近くで起きた出来事だけである</t>
    <phoneticPr fontId="49"/>
  </si>
  <si>
    <t>ダメージ対象</t>
    <rPh sb="4" eb="6">
      <t>タイショウ</t>
    </rPh>
    <phoneticPr fontId="26"/>
  </si>
  <si>
    <t>；霊は別の次元界に移動してしまっており、死体の中には残っていないのが普通なのだ。</t>
    <phoneticPr fontId="49"/>
  </si>
  <si>
    <t>ダメージパワー修正</t>
    <rPh sb="7" eb="9">
      <t>シュウセイ</t>
    </rPh>
    <phoneticPr fontId="26"/>
  </si>
  <si>
    <t>ダメージボーナス</t>
    <phoneticPr fontId="26"/>
  </si>
  <si>
    <t>執行者が行なえる質問の数は、執行者の&lt;宗教&gt;判定の結果によって決まる。</t>
    <phoneticPr fontId="49"/>
  </si>
  <si>
    <t>ダメージダイス</t>
    <phoneticPr fontId="26"/>
  </si>
  <si>
    <t>d</t>
    <phoneticPr fontId="26"/>
  </si>
  <si>
    <t>クリティカル時</t>
    <rPh sb="6" eb="7">
      <t>ジ</t>
    </rPh>
    <phoneticPr fontId="26"/>
  </si>
  <si>
    <t>&lt;宗教&gt;判定の結果</t>
    <phoneticPr fontId="49"/>
  </si>
  <si>
    <t>質問の数</t>
    <rPh sb="0" eb="2">
      <t>シツモン</t>
    </rPh>
    <rPh sb="3" eb="4">
      <t>カズ</t>
    </rPh>
    <phoneticPr fontId="49"/>
  </si>
  <si>
    <t>ダメージ種別</t>
    <rPh sb="4" eb="6">
      <t>シュベツ</t>
    </rPh>
    <phoneticPr fontId="26"/>
  </si>
  <si>
    <t>９以下</t>
    <rPh sb="1" eb="3">
      <t>イカ</t>
    </rPh>
    <phoneticPr fontId="49"/>
  </si>
  <si>
    <t>10～19</t>
    <phoneticPr fontId="49"/>
  </si>
  <si>
    <t>20～29</t>
    <phoneticPr fontId="49"/>
  </si>
  <si>
    <t>30以上</t>
    <rPh sb="2" eb="4">
      <t>イジョウ</t>
    </rPh>
    <phoneticPr fontId="49"/>
  </si>
  <si>
    <t>DM の判断しだいで、死者の霊 と話をするためには〈交渉〉技能を用いた</t>
    <rPh sb="14" eb="15">
      <t>レイ</t>
    </rPh>
    <rPh sb="29" eb="31">
      <t>ギノウ</t>
    </rPh>
    <rPh sb="32" eb="33">
      <t>モチ</t>
    </rPh>
    <phoneticPr fontId="49"/>
  </si>
  <si>
    <t>技能チャレンジが必愛であるということにしてもよい。</t>
    <phoneticPr fontId="49"/>
  </si>
  <si>
    <t>解説・使い時・他PCとの連携等</t>
    <rPh sb="0" eb="2">
      <t>カイセツ</t>
    </rPh>
    <rPh sb="3" eb="4">
      <t>ツカ</t>
    </rPh>
    <rPh sb="5" eb="6">
      <t>ドキ</t>
    </rPh>
    <rPh sb="7" eb="8">
      <t>タ</t>
    </rPh>
    <rPh sb="12" eb="14">
      <t>レンケイ</t>
    </rPh>
    <rPh sb="14" eb="15">
      <t>ナド</t>
    </rPh>
    <phoneticPr fontId="26"/>
  </si>
  <si>
    <t>Lv</t>
    <phoneticPr fontId="26"/>
  </si>
  <si>
    <t>リムーヴ・アフリクション</t>
    <phoneticPr fontId="26"/>
  </si>
  <si>
    <t>儀式/　(ＰＨＢ314)</t>
    <rPh sb="0" eb="2">
      <t>ギシキ</t>
    </rPh>
    <phoneticPr fontId="26"/>
  </si>
  <si>
    <t>快復</t>
    <rPh sb="0" eb="2">
      <t>カイフク</t>
    </rPh>
    <phoneticPr fontId="26"/>
  </si>
  <si>
    <t>250gp</t>
    <phoneticPr fontId="26"/>
  </si>
  <si>
    <t>１時間</t>
    <rPh sb="1" eb="3">
      <t>ジカン</t>
    </rPh>
    <phoneticPr fontId="26"/>
  </si>
  <si>
    <t>680gp</t>
    <phoneticPr fontId="26"/>
  </si>
  <si>
    <t>瞬間</t>
    <rPh sb="0" eb="2">
      <t>シュンカン</t>
    </rPh>
    <phoneticPr fontId="26"/>
  </si>
  <si>
    <t>&lt;治療&gt;</t>
    <rPh sb="1" eb="3">
      <t>チリョウ</t>
    </rPh>
    <phoneticPr fontId="26"/>
  </si>
  <si>
    <t>リムーヴ・アフリクションは対象が被っている１つの効果を取り除く。</t>
    <phoneticPr fontId="49"/>
  </si>
  <si>
    <t>この儀式は、[魅了]、[支配]、[恐怖]、精神混乱、狂気、[変身]、石化</t>
    <phoneticPr fontId="49"/>
  </si>
  <si>
    <t>などの効果を取り除くことができる。</t>
    <phoneticPr fontId="49"/>
  </si>
  <si>
    <t>呪いやその他の効果１つによる効果はすべて終了する。</t>
    <phoneticPr fontId="49"/>
  </si>
  <si>
    <t>この儀式は対象にとって肉体的負犯の大きいものである。</t>
    <phoneticPr fontId="49"/>
  </si>
  <si>
    <t>負傷しているキャラクターに対して用いれば、死の危険すらあるのだ。</t>
    <phoneticPr fontId="49"/>
  </si>
  <si>
    <t>執行者はこの儀式を終えた時点で１回の&lt;治療&gt;判定を行なう。</t>
    <phoneticPr fontId="49"/>
  </si>
  <si>
    <t>この判定には取り除こうとする効果のレベル</t>
    <phoneticPr fontId="49"/>
  </si>
  <si>
    <t>(あるいはその効果の原因となったクリーチャーのレベル)</t>
    <phoneticPr fontId="49"/>
  </si>
  <si>
    <t>に等しいペナルティがつく。</t>
    <phoneticPr fontId="49"/>
  </si>
  <si>
    <t>この判定の結果により、対象のキャラクターが受けるダメージの量が定まる。</t>
    <phoneticPr fontId="49"/>
  </si>
  <si>
    <t>それによってそのキャラクターが死ななかったなら、</t>
    <phoneticPr fontId="49"/>
  </si>
  <si>
    <t>受けたダメージは通常通り回復することができる。</t>
    <phoneticPr fontId="49"/>
  </si>
  <si>
    <t>&lt;治療&gt;の結果</t>
    <phoneticPr fontId="49"/>
  </si>
  <si>
    <t>目標が被る効果</t>
    <rPh sb="0" eb="2">
      <t>モクヒョウ</t>
    </rPh>
    <rPh sb="3" eb="4">
      <t>コウム</t>
    </rPh>
    <rPh sb="5" eb="7">
      <t>コウカ</t>
    </rPh>
    <phoneticPr fontId="49"/>
  </si>
  <si>
    <t>０以下</t>
    <rPh sb="1" eb="3">
      <t>イカ</t>
    </rPh>
    <phoneticPr fontId="49"/>
  </si>
  <si>
    <t>死亡</t>
    <rPh sb="0" eb="2">
      <t>シボウ</t>
    </rPh>
    <phoneticPr fontId="49"/>
  </si>
  <si>
    <t>1～９</t>
    <phoneticPr fontId="49"/>
  </si>
  <si>
    <t>目標は自分の最大ヒッ卜・ポイントに</t>
    <rPh sb="0" eb="2">
      <t>モクヒョウ</t>
    </rPh>
    <rPh sb="3" eb="5">
      <t>ジブン</t>
    </rPh>
    <rPh sb="6" eb="8">
      <t>サイダイ</t>
    </rPh>
    <rPh sb="10" eb="11">
      <t>ボク</t>
    </rPh>
    <phoneticPr fontId="49"/>
  </si>
  <si>
    <t>等しい値のダメージを受ける</t>
    <rPh sb="0" eb="1">
      <t>ヒト</t>
    </rPh>
    <rPh sb="3" eb="4">
      <t>チ</t>
    </rPh>
    <rPh sb="10" eb="11">
      <t>ウ</t>
    </rPh>
    <phoneticPr fontId="49"/>
  </si>
  <si>
    <t>目標は自分の最大ヒッ卜・ポイントの</t>
    <rPh sb="0" eb="2">
      <t>モクヒョウ</t>
    </rPh>
    <rPh sb="3" eb="5">
      <t>ジブン</t>
    </rPh>
    <rPh sb="6" eb="8">
      <t>サイダイ</t>
    </rPh>
    <rPh sb="10" eb="11">
      <t>ボク</t>
    </rPh>
    <phoneticPr fontId="49"/>
  </si>
  <si>
    <t>半分に等しい値のダメージを受ける</t>
    <rPh sb="0" eb="2">
      <t>ハンブン</t>
    </rPh>
    <rPh sb="3" eb="4">
      <t>ヒト</t>
    </rPh>
    <rPh sb="6" eb="7">
      <t>チ</t>
    </rPh>
    <rPh sb="13" eb="14">
      <t>ウ</t>
    </rPh>
    <phoneticPr fontId="49"/>
  </si>
  <si>
    <t>4分の1に等しい値のダメージを受ける</t>
    <rPh sb="1" eb="2">
      <t>ブン</t>
    </rPh>
    <rPh sb="5" eb="6">
      <t>ヒト</t>
    </rPh>
    <rPh sb="8" eb="9">
      <t>チ</t>
    </rPh>
    <rPh sb="15" eb="16">
      <t>ウ</t>
    </rPh>
    <phoneticPr fontId="49"/>
  </si>
  <si>
    <t>ダメージなし</t>
    <phoneticPr fontId="49"/>
  </si>
  <si>
    <t>この儀式は同意していない対象(敵の影響化にある元仲間場合が多い)</t>
    <phoneticPr fontId="49"/>
  </si>
  <si>
    <t>に対しても使用可能であるが、同意しない者にこの儀式を受けさせるためには</t>
    <phoneticPr fontId="49"/>
  </si>
  <si>
    <t>相手を拘束しておく必要があるだろう。</t>
    <phoneticPr fontId="49"/>
  </si>
  <si>
    <t>対象が複数の効果を受けていることが判っている場合、</t>
    <phoneticPr fontId="49"/>
  </si>
  <si>
    <t>執行者はこの儀式でどの効果を取り除くのか選ばなければならない。</t>
    <phoneticPr fontId="49"/>
  </si>
  <si>
    <t>さもなくば、この儀式は執行者が気付いている効果のどれか１つをランダムに選んで取り除く。</t>
    <phoneticPr fontId="49"/>
  </si>
  <si>
    <t>執行者はこの儀式の開始時点で、取り除こうとしている効果のレベルを知ることができ、</t>
    <phoneticPr fontId="49"/>
  </si>
  <si>
    <t>その時点で構成要素を消費せずに儀式を中断することができる</t>
    <phoneticPr fontId="49"/>
  </si>
  <si>
    <t>(たとえば、その効果が執行者の手に余る強さであることが判明した場合など)。</t>
    <phoneticPr fontId="49"/>
  </si>
  <si>
    <t>レイズ・デッド</t>
    <phoneticPr fontId="26"/>
  </si>
  <si>
    <t>500gp、5,000gp、50,000gp</t>
    <phoneticPr fontId="26"/>
  </si>
  <si>
    <t>８時間</t>
    <rPh sb="1" eb="3">
      <t>ジカン</t>
    </rPh>
    <phoneticPr fontId="26"/>
  </si>
  <si>
    <t>&lt;治療&gt;（判定なし）</t>
    <rPh sb="1" eb="3">
      <t>チリョウ</t>
    </rPh>
    <rPh sb="5" eb="7">
      <t>ハンテイ</t>
    </rPh>
    <phoneticPr fontId="26"/>
  </si>
  <si>
    <t>レイズ・デッドの儀式を執り行うためには、</t>
    <phoneticPr fontId="49"/>
  </si>
  <si>
    <t>30日以内に死んだクリーチャーの肉体の一部が必要である。</t>
    <phoneticPr fontId="49"/>
  </si>
  <si>
    <t>執行者は死体に神秘の軟膏を塗り込み、</t>
    <phoneticPr fontId="49"/>
  </si>
  <si>
    <t>死せるクリーチャーの命を蘇らせるべく神々に祈りを捧げる。</t>
    <phoneticPr fontId="49"/>
  </si>
  <si>
    <t>対象は大休憩を取った後のような状態で蘇生する。</t>
    <phoneticPr fontId="49"/>
  </si>
  <si>
    <t>死亡した時点で対象が被っていた一時的な状態はすべて終了するが、</t>
    <phoneticPr fontId="49"/>
  </si>
  <si>
    <t>永続的な状態はそのまま残る。</t>
    <phoneticPr fontId="49"/>
  </si>
  <si>
    <t>蘇生した対象は”死のペナルティ”を被る。</t>
    <phoneticPr fontId="49"/>
  </si>
  <si>
    <t>これは、攻撃R、技能判定、ST、能力値判定全てのロールへの－１ペナルティである。</t>
    <phoneticPr fontId="49"/>
  </si>
  <si>
    <t>死のペナルティは対象が３回のマイルストーンに達した時点で消え去る。</t>
    <phoneticPr fontId="49"/>
  </si>
  <si>
    <t>石化したクリーチャーや寿命によって死亡したクリーチャーを</t>
    <phoneticPr fontId="49"/>
  </si>
  <si>
    <t>この儀式によって蘇生させることはできない。</t>
    <phoneticPr fontId="49"/>
  </si>
  <si>
    <t>蘇生するためには、対象の魂が自由な状態にあって、</t>
    <phoneticPr fontId="49"/>
  </si>
  <si>
    <t>自ら蘇生を望んでいなければならない。</t>
    <phoneticPr fontId="49"/>
  </si>
  <si>
    <t>魔法的効果の中には、魂を捕らえることによってレイズ・デッドを妨げるものもある。</t>
    <phoneticPr fontId="49"/>
  </si>
  <si>
    <t>また、神々ならば生者の領域に魂が戻ることを妨げることもできる。</t>
    <phoneticPr fontId="49"/>
  </si>
  <si>
    <t>いずれにせよ、伝説級や神話級の英雄が蘇生するのはより困難である。</t>
    <phoneticPr fontId="49"/>
  </si>
  <si>
    <t>；この儀式の構成要素費用は、伝説級のキャラクターでは5,000gpに、</t>
    <phoneticPr fontId="49"/>
  </si>
  <si>
    <t>　神話級のキャラクターでは50,000gpになる。</t>
    <phoneticPr fontId="49"/>
  </si>
  <si>
    <t>ボーナス</t>
    <phoneticPr fontId="1"/>
  </si>
  <si>
    <t>習得済</t>
    <rPh sb="0" eb="2">
      <t>シュウトク</t>
    </rPh>
    <rPh sb="2" eb="3">
      <t>スミ</t>
    </rPh>
    <phoneticPr fontId="1"/>
  </si>
  <si>
    <t>状況限定ボーナス</t>
    <rPh sb="0" eb="2">
      <t>ジョウキョウ</t>
    </rPh>
    <rPh sb="2" eb="4">
      <t>ゲンテイ</t>
    </rPh>
    <phoneticPr fontId="1"/>
  </si>
  <si>
    <t>合計</t>
    <rPh sb="0" eb="2">
      <t>ゴウケイ</t>
    </rPh>
    <phoneticPr fontId="1"/>
  </si>
  <si>
    <t>種族</t>
    <rPh sb="0" eb="2">
      <t>シュゾク</t>
    </rPh>
    <phoneticPr fontId="1"/>
  </si>
  <si>
    <t>残り</t>
    <rPh sb="0" eb="1">
      <t>ノコ</t>
    </rPh>
    <phoneticPr fontId="1"/>
  </si>
  <si>
    <r>
      <t>感覚</t>
    </r>
    <r>
      <rPr>
        <b/>
        <sz val="16"/>
        <color rgb="FFFF0000"/>
        <rFont val="ＭＳ Ｐゴシック"/>
        <family val="3"/>
        <charset val="128"/>
        <scheme val="minor"/>
      </rPr>
      <t>（心衣含む）</t>
    </r>
    <rPh sb="0" eb="2">
      <t>カンカク</t>
    </rPh>
    <rPh sb="3" eb="4">
      <t>ココロ</t>
    </rPh>
    <rPh sb="4" eb="5">
      <t>コロモ</t>
    </rPh>
    <rPh sb="5" eb="6">
      <t>フク</t>
    </rPh>
    <phoneticPr fontId="1"/>
  </si>
  <si>
    <t>心衣＋α</t>
    <rPh sb="0" eb="1">
      <t>ココロ</t>
    </rPh>
    <rPh sb="1" eb="2">
      <t>コロモ</t>
    </rPh>
    <phoneticPr fontId="1"/>
  </si>
  <si>
    <t>登攀＋２</t>
    <rPh sb="0" eb="2">
      <t>トウハン</t>
    </rPh>
    <phoneticPr fontId="1"/>
  </si>
  <si>
    <r>
      <t>　　探したり起動したり制御したりするための判定</t>
    </r>
    <r>
      <rPr>
        <b/>
        <sz val="11"/>
        <color rgb="FFFF0000"/>
        <rFont val="ＭＳ Ｐゴシック"/>
        <family val="3"/>
        <charset val="128"/>
        <scheme val="minor"/>
      </rPr>
      <t>+5PB</t>
    </r>
    <r>
      <rPr>
        <sz val="11"/>
        <color theme="1"/>
        <rFont val="ＭＳ Ｐゴシック"/>
        <family val="2"/>
        <charset val="128"/>
        <scheme val="minor"/>
      </rPr>
      <t>を得る。</t>
    </r>
    <phoneticPr fontId="49"/>
  </si>
  <si>
    <t>★</t>
    <phoneticPr fontId="1"/>
  </si>
  <si>
    <t>★モートボーン(元素58) Lv5特徴</t>
    <rPh sb="8" eb="10">
      <t>ゲンソ</t>
    </rPh>
    <rPh sb="17" eb="19">
      <t>トクチョウ</t>
    </rPh>
    <phoneticPr fontId="49"/>
  </si>
  <si>
    <t>（Lv5:2ｄ10 Lv11:3d10 Lv15:4d10 Lv21:5d10 Lv25:6ｄ10)</t>
    <phoneticPr fontId="1"/>
  </si>
  <si>
    <t>インヴォーカー/攻撃/１３　(信37)</t>
    <rPh sb="8" eb="10">
      <t>コウゲキ</t>
    </rPh>
    <rPh sb="15" eb="16">
      <t>シン</t>
    </rPh>
    <phoneticPr fontId="1"/>
  </si>
  <si>
    <t>[遭遇毎]◆［信仰］［装具］</t>
    <rPh sb="1" eb="3">
      <t>ソウグウ</t>
    </rPh>
    <rPh sb="3" eb="4">
      <t>マイ</t>
    </rPh>
    <phoneticPr fontId="1"/>
  </si>
  <si>
    <r>
      <t>(</t>
    </r>
    <r>
      <rPr>
        <b/>
        <sz val="11"/>
        <color rgb="FFFF0000"/>
        <rFont val="ＭＳ Ｐゴシック"/>
        <family val="3"/>
        <charset val="128"/>
        <scheme val="minor"/>
      </rPr>
      <t>１ｄ８</t>
    </r>
    <r>
      <rPr>
        <sz val="11"/>
        <rFont val="ＭＳ Ｐゴシック"/>
        <family val="3"/>
        <charset val="128"/>
        <scheme val="minor"/>
      </rPr>
      <t>＋【判断力】)のダメージ</t>
    </r>
    <phoneticPr fontId="1"/>
  </si>
  <si>
    <r>
      <t>　および使用者は目標を</t>
    </r>
    <r>
      <rPr>
        <b/>
        <sz val="11"/>
        <color rgb="FFFF0000"/>
        <rFont val="ＭＳ Ｐゴシック"/>
        <family val="3"/>
        <charset val="128"/>
        <scheme val="minor"/>
      </rPr>
      <t>伏せ</t>
    </r>
    <r>
      <rPr>
        <sz val="11"/>
        <rFont val="ＭＳ Ｐゴシック"/>
        <family val="3"/>
        <charset val="128"/>
        <scheme val="minor"/>
      </rPr>
      <t>状態にする</t>
    </r>
    <rPh sb="4" eb="7">
      <t>シヨウシャ</t>
    </rPh>
    <rPh sb="8" eb="10">
      <t>モクヒョウ</t>
    </rPh>
    <rPh sb="11" eb="12">
      <t>フ</t>
    </rPh>
    <rPh sb="13" eb="15">
      <t>ジョウタイ</t>
    </rPh>
    <phoneticPr fontId="1"/>
  </si>
  <si>
    <r>
      <t>使用者と爆発の</t>
    </r>
    <r>
      <rPr>
        <b/>
        <sz val="11"/>
        <color rgb="FFFF0000"/>
        <rFont val="ＭＳ Ｐゴシック"/>
        <family val="3"/>
        <charset val="128"/>
        <scheme val="minor"/>
      </rPr>
      <t>範囲内の味方すべて</t>
    </r>
    <r>
      <rPr>
        <sz val="11"/>
        <rFont val="ＭＳ Ｐゴシック"/>
        <family val="3"/>
        <charset val="128"/>
        <scheme val="minor"/>
      </rPr>
      <t>は、１回の</t>
    </r>
    <r>
      <rPr>
        <b/>
        <sz val="11"/>
        <color rgb="FFFF0000"/>
        <rFont val="ＭＳ Ｐゴシック"/>
        <family val="3"/>
        <charset val="128"/>
        <scheme val="minor"/>
      </rPr>
      <t>FA</t>
    </r>
    <r>
      <rPr>
        <sz val="11"/>
        <rFont val="ＭＳ Ｐゴシック"/>
        <family val="3"/>
        <charset val="128"/>
        <scheme val="minor"/>
      </rPr>
      <t>として</t>
    </r>
    <r>
      <rPr>
        <b/>
        <sz val="11"/>
        <color rgb="FFFF0000"/>
        <rFont val="ＭＳ Ｐゴシック"/>
        <family val="3"/>
        <charset val="128"/>
        <scheme val="minor"/>
      </rPr>
      <t>立ち上がる</t>
    </r>
    <r>
      <rPr>
        <sz val="11"/>
        <rFont val="ＭＳ Ｐゴシック"/>
        <family val="3"/>
        <charset val="128"/>
        <scheme val="minor"/>
      </rPr>
      <t>事ができる。</t>
    </r>
    <rPh sb="0" eb="2">
      <t>シヨウ</t>
    </rPh>
    <rPh sb="2" eb="3">
      <t>シャ</t>
    </rPh>
    <rPh sb="4" eb="6">
      <t>バクハツ</t>
    </rPh>
    <rPh sb="7" eb="9">
      <t>ハンイ</t>
    </rPh>
    <rPh sb="9" eb="10">
      <t>ナイ</t>
    </rPh>
    <rPh sb="11" eb="13">
      <t>ミカタ</t>
    </rPh>
    <rPh sb="19" eb="20">
      <t>カイ</t>
    </rPh>
    <rPh sb="26" eb="27">
      <t>タ</t>
    </rPh>
    <rPh sb="28" eb="29">
      <t>ア</t>
    </rPh>
    <rPh sb="31" eb="32">
      <t>コト</t>
    </rPh>
    <phoneticPr fontId="1"/>
  </si>
  <si>
    <r>
      <t>保護の誓約</t>
    </r>
    <r>
      <rPr>
        <b/>
        <sz val="11"/>
        <color theme="1"/>
        <rFont val="ＭＳ Ｐゴシック"/>
        <family val="3"/>
        <charset val="128"/>
        <scheme val="minor"/>
      </rPr>
      <t xml:space="preserve"> : </t>
    </r>
    <r>
      <rPr>
        <sz val="11"/>
        <color theme="1"/>
        <rFont val="ＭＳ Ｐゴシック"/>
        <family val="3"/>
        <charset val="128"/>
        <scheme val="minor"/>
      </rPr>
      <t>爆発の範囲内の味方すべては、１回のFAとして</t>
    </r>
    <r>
      <rPr>
        <b/>
        <sz val="11"/>
        <color rgb="FFFF0000"/>
        <rFont val="ＭＳ Ｐゴシック"/>
        <family val="3"/>
        <charset val="128"/>
        <scheme val="minor"/>
      </rPr>
      <t>さらに１マスシフト</t>
    </r>
    <r>
      <rPr>
        <sz val="11"/>
        <color theme="1"/>
        <rFont val="ＭＳ Ｐゴシック"/>
        <family val="3"/>
        <charset val="128"/>
        <scheme val="minor"/>
      </rPr>
      <t>する事ができる。</t>
    </r>
    <rPh sb="3" eb="5">
      <t>セイヤク</t>
    </rPh>
    <rPh sb="8" eb="10">
      <t>バクハツ</t>
    </rPh>
    <rPh sb="11" eb="14">
      <t>ハンイナイ</t>
    </rPh>
    <rPh sb="15" eb="17">
      <t>ミカタ</t>
    </rPh>
    <rPh sb="23" eb="24">
      <t>カイ</t>
    </rPh>
    <rPh sb="41" eb="42">
      <t>コト</t>
    </rPh>
    <phoneticPr fontId="1"/>
  </si>
  <si>
    <t>アースン・リヴァーサル</t>
    <phoneticPr fontId="1"/>
  </si>
  <si>
    <r>
      <t>①</t>
    </r>
    <r>
      <rPr>
        <b/>
        <sz val="11"/>
        <color rgb="FFFF0000"/>
        <rFont val="ＭＳ Ｐゴシック"/>
        <family val="3"/>
        <charset val="128"/>
        <scheme val="minor"/>
      </rPr>
      <t>無双の反応でブチ込みたい</t>
    </r>
    <r>
      <rPr>
        <sz val="11"/>
        <rFont val="ＭＳ Ｐゴシック"/>
        <family val="3"/>
        <charset val="128"/>
        <scheme val="minor"/>
      </rPr>
      <t>パワーの筆頭格！　（しかし、そのような遭遇が中々少ない）</t>
    </r>
    <rPh sb="1" eb="3">
      <t>ムソウ</t>
    </rPh>
    <rPh sb="4" eb="6">
      <t>ハンノウ</t>
    </rPh>
    <rPh sb="9" eb="10">
      <t>コ</t>
    </rPh>
    <rPh sb="17" eb="19">
      <t>ヒットウ</t>
    </rPh>
    <rPh sb="19" eb="20">
      <t>カク</t>
    </rPh>
    <rPh sb="32" eb="34">
      <t>ソウグウ</t>
    </rPh>
    <rPh sb="35" eb="37">
      <t>ナカナカ</t>
    </rPh>
    <rPh sb="37" eb="38">
      <t>スク</t>
    </rPh>
    <phoneticPr fontId="1"/>
  </si>
  <si>
    <r>
      <t>イニシアチブ＆技能判定</t>
    </r>
    <r>
      <rPr>
        <b/>
        <sz val="16"/>
        <color rgb="FFFF0000"/>
        <rFont val="ＭＳ Ｐゴシック"/>
        <family val="3"/>
        <charset val="128"/>
        <scheme val="minor"/>
      </rPr>
      <t>（心衣＋α含む）</t>
    </r>
    <rPh sb="7" eb="9">
      <t>ギノウ</t>
    </rPh>
    <rPh sb="9" eb="11">
      <t>ハンテイ</t>
    </rPh>
    <rPh sb="12" eb="13">
      <t>ココロ</t>
    </rPh>
    <rPh sb="13" eb="14">
      <t>コロモ</t>
    </rPh>
    <rPh sb="16" eb="17">
      <t>フク</t>
    </rPh>
    <phoneticPr fontId="1"/>
  </si>
  <si>
    <t>判定名</t>
    <rPh sb="0" eb="2">
      <t>ハンテイ</t>
    </rPh>
    <rPh sb="2" eb="3">
      <t>メイ</t>
    </rPh>
    <phoneticPr fontId="1"/>
  </si>
  <si>
    <t>状況限定ボーナス　及び　　　特殊効果</t>
    <rPh sb="0" eb="2">
      <t>ジョウキョウ</t>
    </rPh>
    <rPh sb="2" eb="4">
      <t>ゲンテイ</t>
    </rPh>
    <rPh sb="9" eb="10">
      <t>オヨ</t>
    </rPh>
    <rPh sb="14" eb="16">
      <t>トクシュ</t>
    </rPh>
    <rPh sb="16" eb="18">
      <t>コウカ</t>
    </rPh>
    <phoneticPr fontId="1"/>
  </si>
  <si>
    <t>イニシアチブ</t>
  </si>
  <si>
    <t>　　遠方の暴れ役や兵士役に対して先手を取れたならば有効だが、対頑健なのがネック・・・。</t>
    <rPh sb="2" eb="4">
      <t>エンポウ</t>
    </rPh>
    <rPh sb="5" eb="6">
      <t>アバ</t>
    </rPh>
    <rPh sb="7" eb="8">
      <t>ヤク</t>
    </rPh>
    <rPh sb="9" eb="11">
      <t>ヘイシ</t>
    </rPh>
    <rPh sb="11" eb="12">
      <t>ヤク</t>
    </rPh>
    <rPh sb="13" eb="14">
      <t>タイ</t>
    </rPh>
    <rPh sb="16" eb="18">
      <t>センテ</t>
    </rPh>
    <rPh sb="19" eb="20">
      <t>ト</t>
    </rPh>
    <rPh sb="25" eb="27">
      <t>ユウコウ</t>
    </rPh>
    <rPh sb="30" eb="31">
      <t>タイ</t>
    </rPh>
    <rPh sb="31" eb="33">
      <t>ガンケン</t>
    </rPh>
    <phoneticPr fontId="1"/>
  </si>
  <si>
    <r>
      <t>　　</t>
    </r>
    <r>
      <rPr>
        <b/>
        <sz val="11"/>
        <color rgb="FFFF0000"/>
        <rFont val="ＭＳ Ｐゴシック"/>
        <family val="3"/>
        <charset val="128"/>
        <scheme val="minor"/>
      </rPr>
      <t>突撃を待機</t>
    </r>
    <r>
      <rPr>
        <sz val="11"/>
        <color theme="1"/>
        <rFont val="ＭＳ Ｐゴシック"/>
        <family val="2"/>
        <charset val="128"/>
        <scheme val="minor"/>
      </rPr>
      <t>しているような怪しい動きの敵を発見したら、遠慮せずにＧＯ！　実質１ターン休み。</t>
    </r>
    <rPh sb="2" eb="4">
      <t>トツゲキ</t>
    </rPh>
    <rPh sb="5" eb="7">
      <t>タイキ</t>
    </rPh>
    <rPh sb="14" eb="15">
      <t>アヤ</t>
    </rPh>
    <rPh sb="17" eb="18">
      <t>ウゴ</t>
    </rPh>
    <rPh sb="20" eb="21">
      <t>テキ</t>
    </rPh>
    <rPh sb="22" eb="24">
      <t>ハッケン</t>
    </rPh>
    <rPh sb="28" eb="30">
      <t>エンリョ</t>
    </rPh>
    <rPh sb="37" eb="39">
      <t>ジッシツ</t>
    </rPh>
    <rPh sb="43" eb="44">
      <t>ヤス</t>
    </rPh>
    <phoneticPr fontId="1"/>
  </si>
  <si>
    <t>攻撃前に立ち上がるのは不可能！</t>
    <rPh sb="0" eb="2">
      <t>コウゲキ</t>
    </rPh>
    <rPh sb="2" eb="3">
      <t>マエ</t>
    </rPh>
    <rPh sb="4" eb="5">
      <t>タ</t>
    </rPh>
    <rPh sb="6" eb="7">
      <t>ア</t>
    </rPh>
    <rPh sb="11" eb="14">
      <t>フカノウ</t>
    </rPh>
    <phoneticPr fontId="1"/>
  </si>
  <si>
    <t>　　味方の伏せ対策用にワザワザ温存する必要は全く無し。　撃てる時には撃つに限る。</t>
    <rPh sb="2" eb="4">
      <t>ミカタ</t>
    </rPh>
    <rPh sb="5" eb="6">
      <t>フ</t>
    </rPh>
    <rPh sb="7" eb="10">
      <t>タイサクヨウ</t>
    </rPh>
    <rPh sb="15" eb="17">
      <t>オンゾン</t>
    </rPh>
    <rPh sb="19" eb="21">
      <t>ヒツヨウ</t>
    </rPh>
    <rPh sb="22" eb="23">
      <t>マッタ</t>
    </rPh>
    <rPh sb="24" eb="25">
      <t>ナ</t>
    </rPh>
    <rPh sb="28" eb="29">
      <t>ウ</t>
    </rPh>
    <rPh sb="31" eb="32">
      <t>トキ</t>
    </rPh>
    <rPh sb="34" eb="35">
      <t>ウ</t>
    </rPh>
    <rPh sb="37" eb="38">
      <t>カギ</t>
    </rPh>
    <phoneticPr fontId="1"/>
  </si>
  <si>
    <t>　　味方の幻惑パワーが充実しているので、かなりチャンスは多いか？</t>
    <rPh sb="2" eb="4">
      <t>ミカタ</t>
    </rPh>
    <rPh sb="5" eb="7">
      <t>ゲンワク</t>
    </rPh>
    <rPh sb="11" eb="13">
      <t>ジュウジツ</t>
    </rPh>
    <rPh sb="28" eb="29">
      <t>オオ</t>
    </rPh>
    <phoneticPr fontId="1"/>
  </si>
  <si>
    <t>　　この場合は他のパワーと使い所がモロ被りなので、コレを温存するのも１つの手か？</t>
    <rPh sb="4" eb="6">
      <t>バアイ</t>
    </rPh>
    <rPh sb="7" eb="8">
      <t>ホカ</t>
    </rPh>
    <rPh sb="13" eb="14">
      <t>ツカ</t>
    </rPh>
    <rPh sb="15" eb="16">
      <t>ドコロ</t>
    </rPh>
    <rPh sb="19" eb="20">
      <t>カブ</t>
    </rPh>
    <rPh sb="28" eb="30">
      <t>オンゾン</t>
    </rPh>
    <rPh sb="37" eb="38">
      <t>テ</t>
    </rPh>
    <phoneticPr fontId="1"/>
  </si>
  <si>
    <t>　　①とは違って乱戦中の味方を巻き込んで撃つ事絶賛推奨中だが、</t>
    <rPh sb="5" eb="6">
      <t>チガ</t>
    </rPh>
    <rPh sb="8" eb="11">
      <t>ランセンチュウ</t>
    </rPh>
    <rPh sb="12" eb="14">
      <t>ミカタ</t>
    </rPh>
    <rPh sb="15" eb="16">
      <t>マ</t>
    </rPh>
    <rPh sb="17" eb="18">
      <t>コ</t>
    </rPh>
    <rPh sb="20" eb="21">
      <t>ウ</t>
    </rPh>
    <rPh sb="22" eb="23">
      <t>コト</t>
    </rPh>
    <rPh sb="23" eb="25">
      <t>ゼッサン</t>
    </rPh>
    <rPh sb="25" eb="27">
      <t>スイショウ</t>
    </rPh>
    <rPh sb="27" eb="28">
      <t>チュウ</t>
    </rPh>
    <phoneticPr fontId="1"/>
  </si>
  <si>
    <r>
      <t>　　</t>
    </r>
    <r>
      <rPr>
        <b/>
        <sz val="11"/>
        <color rgb="FFFF0000"/>
        <rFont val="ＭＳ Ｐゴシック"/>
        <family val="3"/>
        <charset val="128"/>
        <scheme val="minor"/>
      </rPr>
      <t>自分が伏せ幻惑中</t>
    </r>
    <r>
      <rPr>
        <sz val="11"/>
        <color theme="1"/>
        <rFont val="ＭＳ Ｐゴシック"/>
        <family val="2"/>
        <charset val="128"/>
        <scheme val="minor"/>
      </rPr>
      <t>だったら迷わずＧＯ！</t>
    </r>
    <rPh sb="2" eb="4">
      <t>ジブン</t>
    </rPh>
    <rPh sb="5" eb="6">
      <t>フ</t>
    </rPh>
    <rPh sb="7" eb="9">
      <t>ゲンワク</t>
    </rPh>
    <rPh sb="9" eb="10">
      <t>チュウ</t>
    </rPh>
    <rPh sb="14" eb="15">
      <t>マヨ</t>
    </rPh>
    <phoneticPr fontId="1"/>
  </si>
  <si>
    <t>②伏せ幻惑を狙う</t>
    <rPh sb="3" eb="5">
      <t>ゲンワク</t>
    </rPh>
    <rPh sb="6" eb="7">
      <t>ネラ</t>
    </rPh>
    <phoneticPr fontId="1"/>
  </si>
  <si>
    <t>　　乱戦中の味方が伏せていたら、②もついでに狙えてオトク？</t>
    <rPh sb="2" eb="5">
      <t>ランセンチュウ</t>
    </rPh>
    <rPh sb="6" eb="8">
      <t>ミカタ</t>
    </rPh>
    <rPh sb="9" eb="10">
      <t>フ</t>
    </rPh>
    <rPh sb="22" eb="23">
      <t>ネラ</t>
    </rPh>
    <phoneticPr fontId="1"/>
  </si>
  <si>
    <t>③伏せ（幻惑）対策</t>
    <rPh sb="1" eb="2">
      <t>フ</t>
    </rPh>
    <rPh sb="4" eb="6">
      <t>ゲンワク</t>
    </rPh>
    <rPh sb="7" eb="9">
      <t>タイサク</t>
    </rPh>
    <phoneticPr fontId="1"/>
  </si>
  <si>
    <t>ボーナス</t>
    <phoneticPr fontId="1"/>
  </si>
  <si>
    <t>命中・他合計</t>
    <rPh sb="0" eb="2">
      <t>メイチュウ</t>
    </rPh>
    <rPh sb="3" eb="4">
      <t>ホカ</t>
    </rPh>
    <rPh sb="4" eb="6">
      <t>ゴウケイ</t>
    </rPh>
    <phoneticPr fontId="1"/>
  </si>
  <si>
    <t>アイテム</t>
    <phoneticPr fontId="1"/>
  </si>
  <si>
    <t>パワー</t>
    <phoneticPr fontId="1"/>
  </si>
  <si>
    <t>ダメ・他合計</t>
    <rPh sb="3" eb="4">
      <t>ホカ</t>
    </rPh>
    <rPh sb="4" eb="6">
      <t>ゴウケイ</t>
    </rPh>
    <phoneticPr fontId="1"/>
  </si>
  <si>
    <t>上級装具</t>
    <rPh sb="0" eb="2">
      <t>ジョウキュウ</t>
    </rPh>
    <rPh sb="2" eb="4">
      <t>ソウグ</t>
    </rPh>
    <phoneticPr fontId="1"/>
  </si>
  <si>
    <t>※《拡散する光》(信仰138)</t>
    <rPh sb="2" eb="4">
      <t>カクサン</t>
    </rPh>
    <rPh sb="6" eb="7">
      <t>ヒカリ</t>
    </rPh>
    <rPh sb="9" eb="11">
      <t>シンコウ</t>
    </rPh>
    <phoneticPr fontId="1"/>
  </si>
  <si>
    <r>
      <t>　　君から</t>
    </r>
    <r>
      <rPr>
        <b/>
        <sz val="11"/>
        <color rgb="FFFF0000"/>
        <rFont val="ＭＳ Ｐゴシック"/>
        <family val="3"/>
        <charset val="128"/>
        <scheme val="minor"/>
      </rPr>
      <t>１０マス以内</t>
    </r>
    <r>
      <rPr>
        <sz val="11"/>
        <color theme="1"/>
        <rFont val="ＭＳ Ｐゴシック"/>
        <family val="2"/>
        <charset val="128"/>
        <scheme val="minor"/>
      </rPr>
      <t>にいる</t>
    </r>
    <r>
      <rPr>
        <b/>
        <sz val="11"/>
        <color rgb="FFFF0000"/>
        <rFont val="ＭＳ Ｐゴシック"/>
        <family val="3"/>
        <charset val="128"/>
        <scheme val="minor"/>
      </rPr>
      <t>味方１人を１マス横滑り</t>
    </r>
    <r>
      <rPr>
        <sz val="11"/>
        <color theme="1"/>
        <rFont val="ＭＳ Ｐゴシック"/>
        <family val="2"/>
        <charset val="128"/>
        <scheme val="minor"/>
      </rPr>
      <t>させる事ができる。</t>
    </r>
    <rPh sb="2" eb="3">
      <t>キミ</t>
    </rPh>
    <rPh sb="9" eb="11">
      <t>イナイ</t>
    </rPh>
    <rPh sb="14" eb="16">
      <t>ミカタ</t>
    </rPh>
    <rPh sb="16" eb="18">
      <t>ヒトリ</t>
    </rPh>
    <rPh sb="22" eb="24">
      <t>ヨコスベ</t>
    </rPh>
    <rPh sb="28" eb="29">
      <t>コト</t>
    </rPh>
    <phoneticPr fontId="1"/>
  </si>
  <si>
    <t>基本的に片手を空けない限り、ただの素手攻撃のみ可能！</t>
    <rPh sb="0" eb="3">
      <t>キホンテキ</t>
    </rPh>
    <rPh sb="4" eb="6">
      <t>カタテ</t>
    </rPh>
    <rPh sb="7" eb="8">
      <t>ア</t>
    </rPh>
    <rPh sb="11" eb="12">
      <t>カギ</t>
    </rPh>
    <rPh sb="17" eb="19">
      <t>スデ</t>
    </rPh>
    <rPh sb="19" eb="21">
      <t>コウゲキ</t>
    </rPh>
    <rPh sb="23" eb="25">
      <t>カノウ</t>
    </rPh>
    <phoneticPr fontId="1"/>
  </si>
  <si>
    <t>　　君はその脆弱性に等しい追加ダメージを与える。</t>
    <rPh sb="2" eb="3">
      <t>キミ</t>
    </rPh>
    <rPh sb="6" eb="9">
      <t>ゼイジャクセイ</t>
    </rPh>
    <rPh sb="10" eb="11">
      <t>ヒト</t>
    </rPh>
    <rPh sb="13" eb="15">
      <t>ツイカ</t>
    </rPh>
    <rPh sb="20" eb="21">
      <t>アタ</t>
    </rPh>
    <phoneticPr fontId="1"/>
  </si>
  <si>
    <t>召喚及び創造物取り扱い注意事項</t>
    <rPh sb="0" eb="2">
      <t>ショウカン</t>
    </rPh>
    <rPh sb="2" eb="3">
      <t>オヨ</t>
    </rPh>
    <rPh sb="4" eb="6">
      <t>ソウゾウ</t>
    </rPh>
    <rPh sb="6" eb="7">
      <t>ブツ</t>
    </rPh>
    <rPh sb="7" eb="8">
      <t>ト</t>
    </rPh>
    <rPh sb="9" eb="10">
      <t>アツカイ</t>
    </rPh>
    <rPh sb="11" eb="13">
      <t>チュウイ</t>
    </rPh>
    <rPh sb="13" eb="15">
      <t>ジコウ</t>
    </rPh>
    <phoneticPr fontId="1"/>
  </si>
  <si>
    <t>・ほとんどアドリブが効かない　（要計画性）</t>
    <rPh sb="10" eb="11">
      <t>キ</t>
    </rPh>
    <rPh sb="16" eb="17">
      <t>ヨウ</t>
    </rPh>
    <rPh sb="17" eb="20">
      <t>ケイカクセイ</t>
    </rPh>
    <phoneticPr fontId="1"/>
  </si>
  <si>
    <t>※《守護の誓約》(信仰140)</t>
    <rPh sb="2" eb="4">
      <t>シュゴ</t>
    </rPh>
    <rPh sb="9" eb="11">
      <t>シンコウ</t>
    </rPh>
    <phoneticPr fontId="1"/>
  </si>
  <si>
    <t>　　君が誓約発現を使用して味方を横滑りさせた場合、</t>
    <rPh sb="2" eb="3">
      <t>キミ</t>
    </rPh>
    <rPh sb="4" eb="6">
      <t>セイヤク</t>
    </rPh>
    <rPh sb="6" eb="8">
      <t>ハツゲン</t>
    </rPh>
    <rPh sb="9" eb="11">
      <t>シヨウ</t>
    </rPh>
    <rPh sb="13" eb="15">
      <t>ミカタ</t>
    </rPh>
    <rPh sb="16" eb="18">
      <t>ヨコスベ</t>
    </rPh>
    <rPh sb="22" eb="24">
      <t>バアイ</t>
    </rPh>
    <phoneticPr fontId="1"/>
  </si>
  <si>
    <t>　　次の君のターン終了時まで、その味方に対して敵は戦術的優位を得ることができない。</t>
    <rPh sb="2" eb="3">
      <t>ツギ</t>
    </rPh>
    <rPh sb="4" eb="5">
      <t>キミ</t>
    </rPh>
    <rPh sb="9" eb="12">
      <t>シュウリョウジ</t>
    </rPh>
    <rPh sb="17" eb="19">
      <t>ミカタ</t>
    </rPh>
    <rPh sb="20" eb="21">
      <t>タイ</t>
    </rPh>
    <rPh sb="23" eb="24">
      <t>テキ</t>
    </rPh>
    <rPh sb="25" eb="28">
      <t>センジュツテキ</t>
    </rPh>
    <rPh sb="28" eb="30">
      <t>ユウイ</t>
    </rPh>
    <rPh sb="31" eb="32">
      <t>エ</t>
    </rPh>
    <phoneticPr fontId="1"/>
  </si>
  <si>
    <t>インヴォーカー/攻撃/１　(信32)</t>
    <rPh sb="8" eb="10">
      <t>コウゲキ</t>
    </rPh>
    <phoneticPr fontId="1"/>
  </si>
  <si>
    <t>[一日毎]◆［信仰］［装具］[雷鳴]</t>
    <rPh sb="15" eb="17">
      <t>ライメイ</t>
    </rPh>
    <phoneticPr fontId="1"/>
  </si>
  <si>
    <r>
      <t>範囲内の</t>
    </r>
    <r>
      <rPr>
        <b/>
        <sz val="11"/>
        <color rgb="FFFF0000"/>
        <rFont val="ＭＳ Ｐゴシック"/>
        <family val="3"/>
        <charset val="128"/>
        <scheme val="minor"/>
      </rPr>
      <t>クリ―チャ―すべて</t>
    </r>
    <rPh sb="0" eb="3">
      <t>ハンイナイ</t>
    </rPh>
    <phoneticPr fontId="1"/>
  </si>
  <si>
    <t>ミス</t>
    <phoneticPr fontId="1"/>
  </si>
  <si>
    <t>半減ダメージ</t>
    <rPh sb="0" eb="1">
      <t>ハンゲン</t>
    </rPh>
    <phoneticPr fontId="1"/>
  </si>
  <si>
    <r>
      <t>および目標は使用者の次Ｔ終まで</t>
    </r>
    <r>
      <rPr>
        <b/>
        <sz val="11"/>
        <color rgb="FFFF0000"/>
        <rFont val="ＭＳ Ｐゴシック"/>
        <family val="3"/>
        <charset val="128"/>
        <scheme val="minor"/>
      </rPr>
      <t>幻惑状態</t>
    </r>
    <r>
      <rPr>
        <sz val="11"/>
        <rFont val="ＭＳ Ｐゴシック"/>
        <family val="3"/>
        <charset val="128"/>
        <scheme val="minor"/>
      </rPr>
      <t>になる。</t>
    </r>
    <rPh sb="3" eb="5">
      <t>モクヒョウ</t>
    </rPh>
    <rPh sb="6" eb="9">
      <t>シヨウシャ</t>
    </rPh>
    <rPh sb="10" eb="11">
      <t>ジ</t>
    </rPh>
    <rPh sb="12" eb="13">
      <t>シュウ</t>
    </rPh>
    <rPh sb="15" eb="17">
      <t>ゲンワク</t>
    </rPh>
    <rPh sb="17" eb="19">
      <t>ジョウタイ</t>
    </rPh>
    <phoneticPr fontId="1"/>
  </si>
  <si>
    <t>(２ｄ６＋【判断力】)の[雷鳴]ダメージ</t>
    <phoneticPr fontId="1"/>
  </si>
  <si>
    <r>
      <t>および目標は</t>
    </r>
    <r>
      <rPr>
        <b/>
        <sz val="11"/>
        <color rgb="FFFF0000"/>
        <rFont val="ＭＳ Ｐゴシック"/>
        <family val="3"/>
        <charset val="128"/>
        <scheme val="minor"/>
      </rPr>
      <t>朦朧状態</t>
    </r>
    <r>
      <rPr>
        <sz val="11"/>
        <rFont val="ＭＳ Ｐゴシック"/>
        <family val="3"/>
        <charset val="128"/>
        <scheme val="minor"/>
      </rPr>
      <t>になる（</t>
    </r>
    <r>
      <rPr>
        <b/>
        <sz val="11"/>
        <color rgb="FFFF0000"/>
        <rFont val="ＭＳ Ｐゴシック"/>
        <family val="3"/>
        <charset val="128"/>
        <scheme val="minor"/>
      </rPr>
      <t>セーヴ</t>
    </r>
    <r>
      <rPr>
        <sz val="11"/>
        <rFont val="ＭＳ Ｐゴシック"/>
        <family val="3"/>
        <charset val="128"/>
        <scheme val="minor"/>
      </rPr>
      <t>・終了）。</t>
    </r>
    <phoneticPr fontId="1"/>
  </si>
  <si>
    <r>
      <t>使用者は次Ｔ終まで</t>
    </r>
    <r>
      <rPr>
        <b/>
        <sz val="11"/>
        <color rgb="FFFF0000"/>
        <rFont val="ＭＳ Ｐゴシック"/>
        <family val="3"/>
        <charset val="128"/>
        <scheme val="minor"/>
      </rPr>
      <t>幻惑状態</t>
    </r>
    <r>
      <rPr>
        <sz val="11"/>
        <rFont val="ＭＳ Ｐゴシック"/>
        <family val="3"/>
        <charset val="128"/>
        <scheme val="minor"/>
      </rPr>
      <t>になる。</t>
    </r>
    <rPh sb="0" eb="3">
      <t>シヨウシャ</t>
    </rPh>
    <rPh sb="4" eb="5">
      <t>ジ</t>
    </rPh>
    <rPh sb="6" eb="7">
      <t>シュウ</t>
    </rPh>
    <rPh sb="9" eb="11">
      <t>ゲンワク</t>
    </rPh>
    <rPh sb="11" eb="13">
      <t>ジョウタイ</t>
    </rPh>
    <phoneticPr fontId="1"/>
  </si>
  <si>
    <t>アドモニシング・ウィスパーやサイレント・マレディクションの事もあるし、</t>
    <rPh sb="29" eb="30">
      <t>コト</t>
    </rPh>
    <phoneticPr fontId="1"/>
  </si>
  <si>
    <t>敵の範囲攻撃を恐れずに前へ出るプレイを目指すべきなのか？</t>
    <rPh sb="0" eb="1">
      <t>テキ</t>
    </rPh>
    <phoneticPr fontId="1"/>
  </si>
  <si>
    <t>ＡＰで爆発が６に拡大・・・うまく使えば、凄過ぎる</t>
    <rPh sb="3" eb="5">
      <t>バクハツ</t>
    </rPh>
    <rPh sb="8" eb="10">
      <t>カクダイ</t>
    </rPh>
    <rPh sb="16" eb="17">
      <t>ツカ</t>
    </rPh>
    <rPh sb="20" eb="22">
      <t>スゴス</t>
    </rPh>
    <phoneticPr fontId="1"/>
  </si>
  <si>
    <r>
      <t>目標は</t>
    </r>
    <r>
      <rPr>
        <b/>
        <sz val="11"/>
        <color rgb="FFFF0000"/>
        <rFont val="ＭＳ Ｐゴシック"/>
        <family val="3"/>
        <charset val="128"/>
        <scheme val="minor"/>
      </rPr>
      <t>回復力２回分</t>
    </r>
    <r>
      <rPr>
        <sz val="11"/>
        <rFont val="ＭＳ Ｐゴシック"/>
        <family val="3"/>
        <charset val="128"/>
        <scheme val="minor"/>
      </rPr>
      <t>を消費する事ができ、</t>
    </r>
    <rPh sb="0" eb="2">
      <t>モクヒョウ</t>
    </rPh>
    <rPh sb="3" eb="5">
      <t>カイフク</t>
    </rPh>
    <rPh sb="5" eb="6">
      <t>リョク</t>
    </rPh>
    <rPh sb="7" eb="9">
      <t>カイブン</t>
    </rPh>
    <rPh sb="10" eb="12">
      <t>ショウヒ</t>
    </rPh>
    <rPh sb="14" eb="15">
      <t>コト</t>
    </rPh>
    <phoneticPr fontId="1"/>
  </si>
  <si>
    <t>①残念ながら標準アクションが必要だけど・・・</t>
    <rPh sb="1" eb="3">
      <t>ザンネン</t>
    </rPh>
    <rPh sb="6" eb="8">
      <t>ヒョウジュン</t>
    </rPh>
    <rPh sb="14" eb="16">
      <t>ヒツヨウ</t>
    </rPh>
    <phoneticPr fontId="1"/>
  </si>
  <si>
    <t>　　シェリー＆タンナイズが無力化された時の奥の手！</t>
    <rPh sb="13" eb="16">
      <t>ムリョクカ</t>
    </rPh>
    <rPh sb="19" eb="20">
      <t>トキ</t>
    </rPh>
    <rPh sb="21" eb="22">
      <t>オク</t>
    </rPh>
    <rPh sb="23" eb="24">
      <t>テ</t>
    </rPh>
    <phoneticPr fontId="1"/>
  </si>
  <si>
    <t>　　保険として考えると結局、大音声とは相性悪そうなのだが・・・。</t>
    <rPh sb="2" eb="4">
      <t>ホケン</t>
    </rPh>
    <rPh sb="7" eb="8">
      <t>カンガ</t>
    </rPh>
    <rPh sb="11" eb="13">
      <t>ケッキョク</t>
    </rPh>
    <rPh sb="14" eb="17">
      <t>ダイオンセイ</t>
    </rPh>
    <rPh sb="19" eb="21">
      <t>アイショウ</t>
    </rPh>
    <rPh sb="21" eb="22">
      <t>ワル</t>
    </rPh>
    <phoneticPr fontId="1"/>
  </si>
  <si>
    <t>②本当のピンチには意外と使いにくい</t>
    <rPh sb="1" eb="3">
      <t>ホントウ</t>
    </rPh>
    <rPh sb="9" eb="11">
      <t>イガイ</t>
    </rPh>
    <rPh sb="12" eb="13">
      <t>ツカ</t>
    </rPh>
    <phoneticPr fontId="1"/>
  </si>
  <si>
    <t>　　回復力使用回数の少ないキャラに使うのは色々と勇気がいるかも？</t>
    <rPh sb="2" eb="5">
      <t>カイフクリョク</t>
    </rPh>
    <rPh sb="5" eb="7">
      <t>シヨウ</t>
    </rPh>
    <rPh sb="7" eb="9">
      <t>カイスウ</t>
    </rPh>
    <rPh sb="10" eb="11">
      <t>スク</t>
    </rPh>
    <rPh sb="17" eb="18">
      <t>ツカ</t>
    </rPh>
    <rPh sb="21" eb="23">
      <t>イロイロ</t>
    </rPh>
    <rPh sb="24" eb="26">
      <t>ユウキ</t>
    </rPh>
    <phoneticPr fontId="1"/>
  </si>
  <si>
    <t>　　回復量の多さからも非常時の保険として信頼性はかなり高いが、</t>
    <rPh sb="2" eb="4">
      <t>カイフク</t>
    </rPh>
    <rPh sb="4" eb="5">
      <t>リョウ</t>
    </rPh>
    <rPh sb="6" eb="7">
      <t>オオ</t>
    </rPh>
    <rPh sb="11" eb="13">
      <t>ヒジョウ</t>
    </rPh>
    <rPh sb="13" eb="14">
      <t>ジ</t>
    </rPh>
    <rPh sb="15" eb="17">
      <t>ホケン</t>
    </rPh>
    <rPh sb="20" eb="23">
      <t>シンライセイ</t>
    </rPh>
    <rPh sb="27" eb="28">
      <t>タカ</t>
    </rPh>
    <phoneticPr fontId="1"/>
  </si>
  <si>
    <t>　　味方にしか使えない点がすこぶる残念。</t>
    <rPh sb="2" eb="4">
      <t>ミカタ</t>
    </rPh>
    <rPh sb="11" eb="12">
      <t>テン</t>
    </rPh>
    <phoneticPr fontId="1"/>
  </si>
  <si>
    <t>　　回復量は多いがその分、回復力２回分必須！</t>
    <rPh sb="2" eb="4">
      <t>カイフク</t>
    </rPh>
    <rPh sb="4" eb="5">
      <t>リョウ</t>
    </rPh>
    <rPh sb="6" eb="7">
      <t>オオ</t>
    </rPh>
    <rPh sb="11" eb="12">
      <t>ブン</t>
    </rPh>
    <rPh sb="13" eb="16">
      <t>カイフクリョク</t>
    </rPh>
    <rPh sb="17" eb="18">
      <t>カイ</t>
    </rPh>
    <rPh sb="18" eb="19">
      <t>ブン</t>
    </rPh>
    <rPh sb="19" eb="21">
      <t>ヒッス</t>
    </rPh>
    <phoneticPr fontId="1"/>
  </si>
  <si>
    <t>　　逆に回復力使用回数不要の一日毎回復パワーの強さを改めて実感する・・・。</t>
    <rPh sb="2" eb="3">
      <t>ギャク</t>
    </rPh>
    <rPh sb="4" eb="7">
      <t>カイフクリョク</t>
    </rPh>
    <rPh sb="7" eb="9">
      <t>シヨウ</t>
    </rPh>
    <rPh sb="9" eb="11">
      <t>カイスウ</t>
    </rPh>
    <rPh sb="11" eb="13">
      <t>フヨウ</t>
    </rPh>
    <rPh sb="14" eb="16">
      <t>イチニチ</t>
    </rPh>
    <rPh sb="16" eb="17">
      <t>マイ</t>
    </rPh>
    <rPh sb="17" eb="19">
      <t>カイフク</t>
    </rPh>
    <rPh sb="23" eb="24">
      <t>ツヨ</t>
    </rPh>
    <rPh sb="26" eb="27">
      <t>アラタ</t>
    </rPh>
    <rPh sb="29" eb="31">
      <t>ジッカン</t>
    </rPh>
    <phoneticPr fontId="1"/>
  </si>
  <si>
    <t>　　大休憩直前の消耗しきった状況では、いざという時が訪れても有効活用できない可能性が・・・。</t>
    <rPh sb="2" eb="5">
      <t>ダイキュウケイ</t>
    </rPh>
    <rPh sb="5" eb="7">
      <t>チョクゼン</t>
    </rPh>
    <rPh sb="8" eb="10">
      <t>ショウモウ</t>
    </rPh>
    <rPh sb="14" eb="16">
      <t>ジョウキョウ</t>
    </rPh>
    <rPh sb="24" eb="25">
      <t>トキ</t>
    </rPh>
    <rPh sb="26" eb="27">
      <t>オトズ</t>
    </rPh>
    <rPh sb="30" eb="32">
      <t>ユウコウ</t>
    </rPh>
    <rPh sb="32" eb="34">
      <t>カツヨウ</t>
    </rPh>
    <rPh sb="38" eb="41">
      <t>カノウセイ</t>
    </rPh>
    <phoneticPr fontId="1"/>
  </si>
  <si>
    <t>　　後に控える戦闘を考慮すると心理的抵抗が大きい。</t>
    <rPh sb="15" eb="18">
      <t>シンリテキ</t>
    </rPh>
    <rPh sb="18" eb="20">
      <t>テイコウ</t>
    </rPh>
    <rPh sb="21" eb="22">
      <t>オオ</t>
    </rPh>
    <phoneticPr fontId="1"/>
  </si>
  <si>
    <t>　　色々な意味での気絶対策としては相当強力。</t>
    <rPh sb="2" eb="4">
      <t>イロイロ</t>
    </rPh>
    <rPh sb="5" eb="7">
      <t>イミ</t>
    </rPh>
    <rPh sb="9" eb="11">
      <t>キゼツ</t>
    </rPh>
    <rPh sb="11" eb="13">
      <t>タイサク</t>
    </rPh>
    <rPh sb="17" eb="19">
      <t>ソウトウ</t>
    </rPh>
    <rPh sb="19" eb="21">
      <t>キョウリョク</t>
    </rPh>
    <phoneticPr fontId="1"/>
  </si>
  <si>
    <t>③何らかの理由で小休憩が取れない時に使う</t>
    <rPh sb="1" eb="2">
      <t>ナン</t>
    </rPh>
    <rPh sb="5" eb="7">
      <t>リユウ</t>
    </rPh>
    <rPh sb="8" eb="11">
      <t>ショウキュウケイ</t>
    </rPh>
    <rPh sb="12" eb="13">
      <t>ト</t>
    </rPh>
    <rPh sb="16" eb="17">
      <t>トキ</t>
    </rPh>
    <rPh sb="18" eb="19">
      <t>ツカ</t>
    </rPh>
    <phoneticPr fontId="1"/>
  </si>
  <si>
    <t>　　シナリオ次第では、戦闘時以外にガンガンHPが減る時もある。</t>
    <rPh sb="6" eb="8">
      <t>シダイ</t>
    </rPh>
    <rPh sb="11" eb="13">
      <t>セントウ</t>
    </rPh>
    <rPh sb="13" eb="14">
      <t>ジ</t>
    </rPh>
    <rPh sb="14" eb="16">
      <t>イガイ</t>
    </rPh>
    <rPh sb="24" eb="25">
      <t>ヘ</t>
    </rPh>
    <rPh sb="26" eb="27">
      <t>トキ</t>
    </rPh>
    <phoneticPr fontId="1"/>
  </si>
  <si>
    <t>　　そんな状況では標準アクションの価値だけは低いので、</t>
    <rPh sb="5" eb="7">
      <t>ジョウキョウ</t>
    </rPh>
    <rPh sb="9" eb="11">
      <t>ヒョウジュン</t>
    </rPh>
    <rPh sb="17" eb="19">
      <t>カチ</t>
    </rPh>
    <rPh sb="22" eb="23">
      <t>ヒク</t>
    </rPh>
    <phoneticPr fontId="1"/>
  </si>
  <si>
    <t>　　このパワーをその場しのぎに使ってしまっても全然アリ！</t>
    <rPh sb="10" eb="11">
      <t>バ</t>
    </rPh>
    <rPh sb="15" eb="16">
      <t>ツカ</t>
    </rPh>
    <rPh sb="23" eb="25">
      <t>ゼンゼン</t>
    </rPh>
    <phoneticPr fontId="1"/>
  </si>
  <si>
    <t>　　連続遭遇でなくても遭遇終了後に小休憩を取る暇が無い事もある。</t>
    <rPh sb="2" eb="4">
      <t>レンゾク</t>
    </rPh>
    <rPh sb="4" eb="6">
      <t>ソウグウ</t>
    </rPh>
    <rPh sb="11" eb="13">
      <t>ソウグウ</t>
    </rPh>
    <rPh sb="13" eb="15">
      <t>シュウリョウ</t>
    </rPh>
    <rPh sb="15" eb="16">
      <t>ゴ</t>
    </rPh>
    <rPh sb="17" eb="20">
      <t>ショウキュウケイ</t>
    </rPh>
    <rPh sb="21" eb="22">
      <t>ト</t>
    </rPh>
    <rPh sb="23" eb="24">
      <t>ヒマ</t>
    </rPh>
    <rPh sb="25" eb="26">
      <t>ナ</t>
    </rPh>
    <rPh sb="27" eb="28">
      <t>コト</t>
    </rPh>
    <phoneticPr fontId="1"/>
  </si>
  <si>
    <t>　　そんな時のHPの回復に底力や遭遇毎回復パワーをあっさり消費してしまうのは、</t>
    <rPh sb="5" eb="6">
      <t>トキ</t>
    </rPh>
    <rPh sb="10" eb="12">
      <t>カイフク</t>
    </rPh>
    <rPh sb="13" eb="14">
      <t>ソコ</t>
    </rPh>
    <rPh sb="14" eb="15">
      <t>チカラ</t>
    </rPh>
    <rPh sb="16" eb="18">
      <t>ソウグウ</t>
    </rPh>
    <rPh sb="18" eb="19">
      <t>マイ</t>
    </rPh>
    <rPh sb="19" eb="21">
      <t>カイフク</t>
    </rPh>
    <rPh sb="29" eb="31">
      <t>ショウヒ</t>
    </rPh>
    <phoneticPr fontId="1"/>
  </si>
  <si>
    <t>起爆トリガーを引けるのは敵のみ！　味方による自爆テロは不可能！</t>
    <rPh sb="0" eb="2">
      <t>キバク</t>
    </rPh>
    <rPh sb="7" eb="8">
      <t>ヒ</t>
    </rPh>
    <rPh sb="12" eb="13">
      <t>テキ</t>
    </rPh>
    <rPh sb="17" eb="19">
      <t>ミカタ</t>
    </rPh>
    <rPh sb="22" eb="24">
      <t>ジバク</t>
    </rPh>
    <rPh sb="27" eb="30">
      <t>フカノウ</t>
    </rPh>
    <phoneticPr fontId="1"/>
  </si>
  <si>
    <t>①移動先への視線チェックはスミスのみ</t>
    <rPh sb="1" eb="3">
      <t>イドウ</t>
    </rPh>
    <rPh sb="3" eb="4">
      <t>サキ</t>
    </rPh>
    <rPh sb="6" eb="8">
      <t>シセン</t>
    </rPh>
    <phoneticPr fontId="1"/>
  </si>
  <si>
    <t>　　流石一日毎。</t>
    <rPh sb="2" eb="4">
      <t>サスガ</t>
    </rPh>
    <rPh sb="4" eb="6">
      <t>イチニチ</t>
    </rPh>
    <rPh sb="6" eb="7">
      <t>マイ</t>
    </rPh>
    <phoneticPr fontId="1"/>
  </si>
  <si>
    <t>　　移動先の空間さえ広ければ、かなり使い易い。</t>
    <rPh sb="2" eb="4">
      <t>イドウ</t>
    </rPh>
    <rPh sb="4" eb="5">
      <t>サキ</t>
    </rPh>
    <rPh sb="6" eb="8">
      <t>クウカン</t>
    </rPh>
    <rPh sb="10" eb="11">
      <t>ヒロ</t>
    </rPh>
    <rPh sb="18" eb="19">
      <t>ツカ</t>
    </rPh>
    <rPh sb="20" eb="21">
      <t>ヤス</t>
    </rPh>
    <phoneticPr fontId="1"/>
  </si>
  <si>
    <t>　　スミスが見えている先へ瞬間移動させるので、味方の方は壁抜けに近い事まで可能。</t>
    <rPh sb="6" eb="7">
      <t>ミ</t>
    </rPh>
    <rPh sb="11" eb="12">
      <t>サキ</t>
    </rPh>
    <rPh sb="13" eb="15">
      <t>シュンカン</t>
    </rPh>
    <rPh sb="15" eb="17">
      <t>イドウ</t>
    </rPh>
    <rPh sb="26" eb="27">
      <t>ホウ</t>
    </rPh>
    <phoneticPr fontId="1"/>
  </si>
  <si>
    <t>　　伏せ、不動、気絶、朦朧と味方の状態に全く左右されない短距離ルーラ！</t>
    <rPh sb="2" eb="3">
      <t>フ</t>
    </rPh>
    <rPh sb="5" eb="7">
      <t>フドウ</t>
    </rPh>
    <rPh sb="8" eb="10">
      <t>キゼツ</t>
    </rPh>
    <rPh sb="11" eb="13">
      <t>モウロウ</t>
    </rPh>
    <rPh sb="14" eb="16">
      <t>ミカタ</t>
    </rPh>
    <rPh sb="17" eb="19">
      <t>ジョウタイ</t>
    </rPh>
    <rPh sb="20" eb="21">
      <t>マッタ</t>
    </rPh>
    <rPh sb="22" eb="24">
      <t>サユウ</t>
    </rPh>
    <rPh sb="28" eb="31">
      <t>タンキョリ</t>
    </rPh>
    <phoneticPr fontId="1"/>
  </si>
  <si>
    <t>②移動距離チェックの起点はスミスだけではなく、それぞれのいる各マス</t>
    <rPh sb="1" eb="3">
      <t>イドウ</t>
    </rPh>
    <rPh sb="3" eb="5">
      <t>キョリ</t>
    </rPh>
    <rPh sb="10" eb="12">
      <t>キテン</t>
    </rPh>
    <rPh sb="30" eb="31">
      <t>カク</t>
    </rPh>
    <phoneticPr fontId="1"/>
  </si>
  <si>
    <t>　　スミスが６マス移動可能であっても、味方はスミスの６マス先へ移動可能とは限らない。</t>
    <rPh sb="9" eb="11">
      <t>イドウ</t>
    </rPh>
    <rPh sb="11" eb="13">
      <t>カノウ</t>
    </rPh>
    <rPh sb="19" eb="21">
      <t>ミカタ</t>
    </rPh>
    <rPh sb="37" eb="38">
      <t>カギ</t>
    </rPh>
    <phoneticPr fontId="1"/>
  </si>
  <si>
    <t>　　それぞれが元の位置から６マス移動するだけなので、思ったよりも味方を運べない事も多い。</t>
    <rPh sb="7" eb="8">
      <t>モト</t>
    </rPh>
    <rPh sb="9" eb="11">
      <t>イチ</t>
    </rPh>
    <rPh sb="16" eb="18">
      <t>イドウ</t>
    </rPh>
    <rPh sb="26" eb="27">
      <t>オモ</t>
    </rPh>
    <rPh sb="32" eb="34">
      <t>ミカタ</t>
    </rPh>
    <rPh sb="35" eb="36">
      <t>ハコ</t>
    </rPh>
    <rPh sb="39" eb="40">
      <t>コト</t>
    </rPh>
    <rPh sb="41" eb="42">
      <t>オオ</t>
    </rPh>
    <phoneticPr fontId="1"/>
  </si>
  <si>
    <t>　　味方の瞬間移動の起点がスミスでは無い点に要注意！</t>
    <rPh sb="2" eb="4">
      <t>ミカタ</t>
    </rPh>
    <rPh sb="5" eb="7">
      <t>シュンカン</t>
    </rPh>
    <rPh sb="7" eb="9">
      <t>イドウ</t>
    </rPh>
    <rPh sb="10" eb="12">
      <t>キテン</t>
    </rPh>
    <rPh sb="18" eb="19">
      <t>ナ</t>
    </rPh>
    <rPh sb="20" eb="21">
      <t>テン</t>
    </rPh>
    <rPh sb="22" eb="25">
      <t>ヨウチュウイ</t>
    </rPh>
    <phoneticPr fontId="1"/>
  </si>
  <si>
    <t>　　移動先が狭いと味方を収容するのに充分なスペースを確保する事も難しい。</t>
    <rPh sb="2" eb="4">
      <t>イドウ</t>
    </rPh>
    <rPh sb="4" eb="5">
      <t>サキ</t>
    </rPh>
    <rPh sb="6" eb="7">
      <t>セマ</t>
    </rPh>
    <rPh sb="9" eb="11">
      <t>ミカタ</t>
    </rPh>
    <rPh sb="12" eb="14">
      <t>シュウヨウ</t>
    </rPh>
    <rPh sb="18" eb="20">
      <t>ジュウブン</t>
    </rPh>
    <rPh sb="26" eb="28">
      <t>カクホ</t>
    </rPh>
    <rPh sb="30" eb="31">
      <t>コト</t>
    </rPh>
    <rPh sb="32" eb="33">
      <t>ムズカ</t>
    </rPh>
    <phoneticPr fontId="1"/>
  </si>
  <si>
    <t>　　遭遇次第では意外と使いにくい・・・。</t>
    <rPh sb="2" eb="4">
      <t>ソウグウ</t>
    </rPh>
    <rPh sb="4" eb="5">
      <t>ツギ</t>
    </rPh>
    <rPh sb="5" eb="6">
      <t>ダイ</t>
    </rPh>
    <rPh sb="8" eb="10">
      <t>イガイ</t>
    </rPh>
    <rPh sb="11" eb="12">
      <t>ツカ</t>
    </rPh>
    <phoneticPr fontId="1"/>
  </si>
  <si>
    <t>機会攻撃で減速なのも密かに優秀。</t>
    <rPh sb="0" eb="2">
      <t>キカイ</t>
    </rPh>
    <rPh sb="2" eb="4">
      <t>コウゲキ</t>
    </rPh>
    <rPh sb="5" eb="7">
      <t>ゲンソク</t>
    </rPh>
    <rPh sb="10" eb="11">
      <t>ヒソ</t>
    </rPh>
    <rPh sb="13" eb="15">
      <t>ユウシュウ</t>
    </rPh>
    <phoneticPr fontId="1"/>
  </si>
  <si>
    <t>やはりマークで守ってもらうのが吉か？</t>
    <rPh sb="7" eb="8">
      <t>マモ</t>
    </rPh>
    <rPh sb="15" eb="16">
      <t>キチ</t>
    </rPh>
    <phoneticPr fontId="1"/>
  </si>
  <si>
    <t>勿体無いが、カナリアとしてもそれなりに優秀。</t>
    <rPh sb="0" eb="3">
      <t>モッタイナ</t>
    </rPh>
    <rPh sb="19" eb="21">
      <t>ユウシュウ</t>
    </rPh>
    <phoneticPr fontId="1"/>
  </si>
  <si>
    <t>まだ幻惑していない敵に対して、RJやオテギヌと挟撃してあげる事も重要。</t>
    <rPh sb="2" eb="4">
      <t>ゲンワク</t>
    </rPh>
    <rPh sb="9" eb="10">
      <t>テキ</t>
    </rPh>
    <rPh sb="11" eb="12">
      <t>タイ</t>
    </rPh>
    <rPh sb="23" eb="25">
      <t>キョウゲキ</t>
    </rPh>
    <rPh sb="30" eb="31">
      <t>コト</t>
    </rPh>
    <rPh sb="32" eb="34">
      <t>ジュウヨウ</t>
    </rPh>
    <phoneticPr fontId="1"/>
  </si>
  <si>
    <t>②カナリア</t>
    <phoneticPr fontId="1"/>
  </si>
  <si>
    <t>　　命令に効果線が不要なので、使い勝手は意外と良い。</t>
    <rPh sb="2" eb="4">
      <t>メイレイ</t>
    </rPh>
    <rPh sb="5" eb="7">
      <t>コウカ</t>
    </rPh>
    <rPh sb="7" eb="8">
      <t>セン</t>
    </rPh>
    <rPh sb="9" eb="11">
      <t>フヨウ</t>
    </rPh>
    <rPh sb="15" eb="16">
      <t>ツカ</t>
    </rPh>
    <rPh sb="17" eb="19">
      <t>カッテ</t>
    </rPh>
    <rPh sb="20" eb="22">
      <t>イガイ</t>
    </rPh>
    <rPh sb="23" eb="24">
      <t>ヨ</t>
    </rPh>
    <phoneticPr fontId="1"/>
  </si>
  <si>
    <r>
      <t>　　珍しく</t>
    </r>
    <r>
      <rPr>
        <b/>
        <sz val="11"/>
        <color rgb="FFFF0000"/>
        <rFont val="ＭＳ Ｐゴシック"/>
        <family val="3"/>
        <charset val="128"/>
        <scheme val="minor"/>
      </rPr>
      <t>ホバリング無しの飛行</t>
    </r>
    <r>
      <rPr>
        <sz val="11"/>
        <rFont val="ＭＳ Ｐゴシック"/>
        <family val="3"/>
        <charset val="128"/>
        <scheme val="minor"/>
      </rPr>
      <t>なのも結果オーライ？</t>
    </r>
    <rPh sb="2" eb="3">
      <t>メズラ</t>
    </rPh>
    <rPh sb="10" eb="11">
      <t>ナ</t>
    </rPh>
    <rPh sb="13" eb="15">
      <t>ヒコウ</t>
    </rPh>
    <rPh sb="18" eb="20">
      <t>ケッカ</t>
    </rPh>
    <phoneticPr fontId="1"/>
  </si>
  <si>
    <t>　　最低でも幻惑にはなるので、信頼性は高い。</t>
    <rPh sb="2" eb="4">
      <t>サイテイ</t>
    </rPh>
    <rPh sb="6" eb="8">
      <t>ゲンワク</t>
    </rPh>
    <rPh sb="15" eb="18">
      <t>シンライセイ</t>
    </rPh>
    <rPh sb="19" eb="20">
      <t>タカ</t>
    </rPh>
    <phoneticPr fontId="1"/>
  </si>
  <si>
    <t>②受動的には使いにくい</t>
    <rPh sb="1" eb="4">
      <t>ジュドウテキ</t>
    </rPh>
    <rPh sb="6" eb="7">
      <t>ツカ</t>
    </rPh>
    <phoneticPr fontId="1"/>
  </si>
  <si>
    <t>　　状況次第では自ら敵に近付いて撃つ必要もあるだろうが、虎穴に入らずんば虎児を得ず！</t>
    <rPh sb="2" eb="4">
      <t>ジョウキョウ</t>
    </rPh>
    <rPh sb="4" eb="6">
      <t>シダイ</t>
    </rPh>
    <rPh sb="8" eb="9">
      <t>ミズカ</t>
    </rPh>
    <rPh sb="10" eb="11">
      <t>テキ</t>
    </rPh>
    <rPh sb="12" eb="14">
      <t>チカヅ</t>
    </rPh>
    <rPh sb="16" eb="17">
      <t>ウ</t>
    </rPh>
    <rPh sb="18" eb="20">
      <t>ヒツヨウ</t>
    </rPh>
    <rPh sb="28" eb="30">
      <t>コケツ</t>
    </rPh>
    <rPh sb="31" eb="32">
      <t>イ</t>
    </rPh>
    <rPh sb="36" eb="38">
      <t>コジ</t>
    </rPh>
    <rPh sb="39" eb="40">
      <t>エ</t>
    </rPh>
    <phoneticPr fontId="1"/>
  </si>
  <si>
    <t>　　自分が敵から逃げる為に使っても全くと言っていい程、無意味！</t>
    <rPh sb="2" eb="4">
      <t>ジブン</t>
    </rPh>
    <rPh sb="5" eb="6">
      <t>テキ</t>
    </rPh>
    <rPh sb="8" eb="9">
      <t>ニ</t>
    </rPh>
    <rPh sb="11" eb="12">
      <t>タメ</t>
    </rPh>
    <rPh sb="13" eb="14">
      <t>ツカ</t>
    </rPh>
    <rPh sb="17" eb="18">
      <t>マッタ</t>
    </rPh>
    <rPh sb="20" eb="21">
      <t>イ</t>
    </rPh>
    <rPh sb="25" eb="26">
      <t>ホド</t>
    </rPh>
    <rPh sb="27" eb="30">
      <t>ムイミ</t>
    </rPh>
    <phoneticPr fontId="1"/>
  </si>
  <si>
    <t>①どうしても凶悪な敵の足止めをしたい時</t>
    <rPh sb="6" eb="8">
      <t>キョウアク</t>
    </rPh>
    <rPh sb="9" eb="10">
      <t>テキ</t>
    </rPh>
    <rPh sb="11" eb="12">
      <t>アシ</t>
    </rPh>
    <rPh sb="12" eb="13">
      <t>ト</t>
    </rPh>
    <rPh sb="18" eb="19">
      <t>トキ</t>
    </rPh>
    <phoneticPr fontId="1"/>
  </si>
  <si>
    <t>　　君が[光輝]ダメージを与えない攻撃を、[光輝]に対する脆弱性を有する目標にヒットさせたとき、</t>
    <rPh sb="2" eb="3">
      <t>キミ</t>
    </rPh>
    <rPh sb="13" eb="14">
      <t>アタ</t>
    </rPh>
    <rPh sb="17" eb="19">
      <t>コウゲキ</t>
    </rPh>
    <rPh sb="26" eb="27">
      <t>タイ</t>
    </rPh>
    <rPh sb="29" eb="32">
      <t>ゼイジャクセイ</t>
    </rPh>
    <rPh sb="33" eb="34">
      <t>ユウ</t>
    </rPh>
    <rPh sb="36" eb="38">
      <t>モクヒョウ</t>
    </rPh>
    <phoneticPr fontId="1"/>
  </si>
  <si>
    <t>　　君が[光輝]ダメージを与えない攻撃を、[光輝]に対する脆弱性を有する目標にヒットさせたとき、</t>
    <rPh sb="26" eb="27">
      <t>タイ</t>
    </rPh>
    <rPh sb="29" eb="32">
      <t>ゼイジャクセイ</t>
    </rPh>
    <rPh sb="33" eb="34">
      <t>ユウ</t>
    </rPh>
    <rPh sb="36" eb="38">
      <t>モクヒョウ</t>
    </rPh>
    <phoneticPr fontId="1"/>
  </si>
  <si>
    <t>　　ちなみに大音声のデメリットが全く存在しないパワーでもある。</t>
    <rPh sb="6" eb="9">
      <t>ダイオンセイ</t>
    </rPh>
    <rPh sb="16" eb="17">
      <t>マッタ</t>
    </rPh>
    <rPh sb="18" eb="20">
      <t>ソンザイ</t>
    </rPh>
    <phoneticPr fontId="1"/>
  </si>
  <si>
    <t>　　自分も確定幻惑という大きなデメリットがあるので（一応、無双の意志でフォロー可能）、</t>
    <rPh sb="2" eb="4">
      <t>ジブン</t>
    </rPh>
    <rPh sb="5" eb="7">
      <t>カクテイ</t>
    </rPh>
    <rPh sb="7" eb="9">
      <t>ゲンワク</t>
    </rPh>
    <rPh sb="12" eb="13">
      <t>オオ</t>
    </rPh>
    <rPh sb="26" eb="28">
      <t>イチオウ</t>
    </rPh>
    <rPh sb="29" eb="31">
      <t>ムソウ</t>
    </rPh>
    <rPh sb="32" eb="34">
      <t>イシ</t>
    </rPh>
    <rPh sb="39" eb="41">
      <t>カノウ</t>
    </rPh>
    <phoneticPr fontId="1"/>
  </si>
  <si>
    <t>・両手で１つの武器を持ちつつ標準以外のアクションが余り易いキャラでないと咄嗟に使用し辛い</t>
    <rPh sb="1" eb="3">
      <t>リョウテ</t>
    </rPh>
    <rPh sb="7" eb="9">
      <t>ブキ</t>
    </rPh>
    <rPh sb="10" eb="11">
      <t>モ</t>
    </rPh>
    <rPh sb="14" eb="16">
      <t>ヒョウジュン</t>
    </rPh>
    <rPh sb="16" eb="18">
      <t>イガイ</t>
    </rPh>
    <rPh sb="25" eb="26">
      <t>アマ</t>
    </rPh>
    <rPh sb="27" eb="28">
      <t>ヤス</t>
    </rPh>
    <rPh sb="36" eb="38">
      <t>トッサ</t>
    </rPh>
    <rPh sb="39" eb="41">
      <t>シヨウ</t>
    </rPh>
    <rPh sb="42" eb="43">
      <t>ツラ</t>
    </rPh>
    <phoneticPr fontId="1"/>
  </si>
  <si>
    <t>③信仰パワー全般強化（・・・なのか？）</t>
    <rPh sb="1" eb="3">
      <t>シンコウ</t>
    </rPh>
    <rPh sb="6" eb="8">
      <t>ゼンパン</t>
    </rPh>
    <rPh sb="8" eb="10">
      <t>キョウカ</t>
    </rPh>
    <phoneticPr fontId="1"/>
  </si>
  <si>
    <t>②遠隔攻撃強化　（盲目以外に弱点無し？）</t>
    <rPh sb="1" eb="3">
      <t>エンカク</t>
    </rPh>
    <rPh sb="3" eb="5">
      <t>コウゲキ</t>
    </rPh>
    <rPh sb="5" eb="7">
      <t>キョウカ</t>
    </rPh>
    <rPh sb="9" eb="11">
      <t>モウモク</t>
    </rPh>
    <rPh sb="11" eb="13">
      <t>イガイ</t>
    </rPh>
    <rPh sb="14" eb="16">
      <t>ジャクテン</t>
    </rPh>
    <rPh sb="16" eb="17">
      <t>ナ</t>
    </rPh>
    <phoneticPr fontId="1"/>
  </si>
  <si>
    <t>ダメージに関してのみ、[信仰]に限らず全ての攻撃が[光輝]パワーと同等の効果が期待できるが、</t>
    <rPh sb="5" eb="6">
      <t>カン</t>
    </rPh>
    <rPh sb="19" eb="20">
      <t>スベ</t>
    </rPh>
    <rPh sb="22" eb="24">
      <t>コウゲキ</t>
    </rPh>
    <rPh sb="33" eb="35">
      <t>ドウトウ</t>
    </rPh>
    <rPh sb="36" eb="38">
      <t>コウカ</t>
    </rPh>
    <rPh sb="39" eb="41">
      <t>キタイ</t>
    </rPh>
    <phoneticPr fontId="1"/>
  </si>
  <si>
    <t>[光輝]の脆弱性でオーラや再生が止まるアンデッドに対しては[光輝]キーワードが必須！</t>
    <rPh sb="5" eb="8">
      <t>ゼイジャクセイ</t>
    </rPh>
    <rPh sb="13" eb="15">
      <t>サイセイ</t>
    </rPh>
    <rPh sb="16" eb="17">
      <t>ト</t>
    </rPh>
    <rPh sb="25" eb="26">
      <t>タイ</t>
    </rPh>
    <rPh sb="39" eb="41">
      <t>ヒッス</t>
    </rPh>
    <phoneticPr fontId="1"/>
  </si>
  <si>
    <t>・飛行可能でもホバリングが無い</t>
    <rPh sb="1" eb="3">
      <t>ヒコウ</t>
    </rPh>
    <rPh sb="3" eb="5">
      <t>カノウ</t>
    </rPh>
    <rPh sb="13" eb="14">
      <t>ナ</t>
    </rPh>
    <phoneticPr fontId="1"/>
  </si>
  <si>
    <t>常に効果線が不要なのは、カナリアとして使用する時に有効活用可能。</t>
    <rPh sb="0" eb="1">
      <t>ツネ</t>
    </rPh>
    <rPh sb="2" eb="4">
      <t>コウカ</t>
    </rPh>
    <rPh sb="4" eb="5">
      <t>セン</t>
    </rPh>
    <rPh sb="6" eb="8">
      <t>フヨウ</t>
    </rPh>
    <rPh sb="19" eb="21">
      <t>シヨウ</t>
    </rPh>
    <rPh sb="23" eb="24">
      <t>トキ</t>
    </rPh>
    <rPh sb="25" eb="27">
      <t>ユウコウ</t>
    </rPh>
    <rPh sb="27" eb="29">
      <t>カツヨウ</t>
    </rPh>
    <rPh sb="29" eb="31">
      <t>カノウ</t>
    </rPh>
    <phoneticPr fontId="1"/>
  </si>
  <si>
    <t>結局のところ、機会攻撃以外ではコントロール要素がほとんど無いのが実情・・・。</t>
    <rPh sb="0" eb="2">
      <t>ケッキョク</t>
    </rPh>
    <rPh sb="7" eb="9">
      <t>キカイ</t>
    </rPh>
    <rPh sb="9" eb="11">
      <t>コウゲキ</t>
    </rPh>
    <rPh sb="11" eb="13">
      <t>イガイ</t>
    </rPh>
    <rPh sb="21" eb="23">
      <t>ヨウソ</t>
    </rPh>
    <rPh sb="28" eb="29">
      <t>ナ</t>
    </rPh>
    <rPh sb="32" eb="34">
      <t>ジツジョウ</t>
    </rPh>
    <phoneticPr fontId="1"/>
  </si>
  <si>
    <t>挟撃要員にはなるので意味はあるが、その為には繊細な位置取りが要求されるし、</t>
    <rPh sb="0" eb="2">
      <t>キョウゲキ</t>
    </rPh>
    <rPh sb="2" eb="4">
      <t>ヨウイン</t>
    </rPh>
    <rPh sb="10" eb="12">
      <t>イミ</t>
    </rPh>
    <rPh sb="19" eb="20">
      <t>タメ</t>
    </rPh>
    <rPh sb="22" eb="24">
      <t>センサイ</t>
    </rPh>
    <rPh sb="25" eb="27">
      <t>イチ</t>
    </rPh>
    <rPh sb="27" eb="28">
      <t>ト</t>
    </rPh>
    <rPh sb="30" eb="32">
      <t>ヨウキュウ</t>
    </rPh>
    <phoneticPr fontId="1"/>
  </si>
  <si>
    <t>現在は《トウム練達》が無いので、召喚や創造物がただ居るだけでは大して効果を期待しにくい。</t>
    <rPh sb="7" eb="9">
      <t>レンタツ</t>
    </rPh>
    <rPh sb="11" eb="12">
      <t>ナ</t>
    </rPh>
    <rPh sb="16" eb="18">
      <t>ショウカン</t>
    </rPh>
    <rPh sb="19" eb="21">
      <t>ソウゾウ</t>
    </rPh>
    <rPh sb="21" eb="22">
      <t>ブツ</t>
    </rPh>
    <rPh sb="25" eb="26">
      <t>イ</t>
    </rPh>
    <rPh sb="31" eb="32">
      <t>タイ</t>
    </rPh>
    <rPh sb="34" eb="36">
      <t>コウカ</t>
    </rPh>
    <rPh sb="37" eb="39">
      <t>キタイ</t>
    </rPh>
    <phoneticPr fontId="1"/>
  </si>
  <si>
    <t>結局、ダメージUP以外ほとんど意味が無い？　しかも《拡散する光》の適用外・・・</t>
    <rPh sb="0" eb="2">
      <t>ケッキョク</t>
    </rPh>
    <rPh sb="9" eb="11">
      <t>イガイ</t>
    </rPh>
    <rPh sb="15" eb="17">
      <t>イミ</t>
    </rPh>
    <rPh sb="18" eb="19">
      <t>ナ</t>
    </rPh>
    <rPh sb="33" eb="35">
      <t>テキヨウ</t>
    </rPh>
    <rPh sb="35" eb="36">
      <t>ガイ</t>
    </rPh>
    <phoneticPr fontId="1"/>
  </si>
  <si>
    <t>・オーラのお陰で珍しくただ居るだけでそこそこ意味がある</t>
    <rPh sb="6" eb="7">
      <t>カゲ</t>
    </rPh>
    <rPh sb="8" eb="9">
      <t>メズラ</t>
    </rPh>
    <rPh sb="13" eb="14">
      <t>イ</t>
    </rPh>
    <rPh sb="22" eb="24">
      <t>イミ</t>
    </rPh>
    <phoneticPr fontId="1"/>
  </si>
  <si>
    <t>それなりに打たれ強くても、射程の問題で特攻要員としてカウント不可能な点も痛い。</t>
    <rPh sb="5" eb="6">
      <t>ウ</t>
    </rPh>
    <rPh sb="8" eb="9">
      <t>ツヨ</t>
    </rPh>
    <rPh sb="13" eb="15">
      <t>シャテイ</t>
    </rPh>
    <rPh sb="16" eb="18">
      <t>モンダイ</t>
    </rPh>
    <rPh sb="19" eb="21">
      <t>トッコウ</t>
    </rPh>
    <rPh sb="21" eb="23">
      <t>ヨウイン</t>
    </rPh>
    <rPh sb="30" eb="33">
      <t>フカノウ</t>
    </rPh>
    <rPh sb="34" eb="35">
      <t>テン</t>
    </rPh>
    <rPh sb="36" eb="37">
      <t>イタ</t>
    </rPh>
    <phoneticPr fontId="1"/>
  </si>
  <si>
    <t>撃破役と比較してハシャぐ程の高ダメージにはなりにくい（当たり前）。</t>
    <rPh sb="0" eb="2">
      <t>ゲキハ</t>
    </rPh>
    <rPh sb="2" eb="3">
      <t>ヤク</t>
    </rPh>
    <rPh sb="4" eb="6">
      <t>ヒカク</t>
    </rPh>
    <rPh sb="12" eb="13">
      <t>ホド</t>
    </rPh>
    <rPh sb="14" eb="15">
      <t>コウ</t>
    </rPh>
    <rPh sb="27" eb="28">
      <t>ア</t>
    </rPh>
    <rPh sb="30" eb="31">
      <t>マエ</t>
    </rPh>
    <phoneticPr fontId="1"/>
  </si>
  <si>
    <t>全般的に手数の多さは注目に値するものの残念ながら《拡散する光》が適用されない以上、</t>
    <rPh sb="0" eb="2">
      <t>ゼンパン</t>
    </rPh>
    <rPh sb="2" eb="3">
      <t>テキ</t>
    </rPh>
    <rPh sb="4" eb="6">
      <t>テカズ</t>
    </rPh>
    <rPh sb="7" eb="8">
      <t>オオ</t>
    </rPh>
    <rPh sb="10" eb="12">
      <t>チュウモク</t>
    </rPh>
    <rPh sb="13" eb="14">
      <t>アタイ</t>
    </rPh>
    <rPh sb="19" eb="21">
      <t>ザンネン</t>
    </rPh>
    <rPh sb="32" eb="34">
      <t>テキヨウ</t>
    </rPh>
    <rPh sb="38" eb="40">
      <t>イジョウ</t>
    </rPh>
    <phoneticPr fontId="1"/>
  </si>
  <si>
    <t>特攻要員としては期待しにくいが、カナリアとしては活用する価値がある。</t>
    <rPh sb="0" eb="2">
      <t>トッコウ</t>
    </rPh>
    <rPh sb="2" eb="4">
      <t>ヨウイン</t>
    </rPh>
    <rPh sb="8" eb="10">
      <t>キタイ</t>
    </rPh>
    <rPh sb="24" eb="26">
      <t>カツヨウ</t>
    </rPh>
    <rPh sb="28" eb="30">
      <t>カチ</t>
    </rPh>
    <phoneticPr fontId="1"/>
  </si>
  <si>
    <t>えげつないトラップに対してPCで人体実験するのは、やはり気が重いので（笑）</t>
    <rPh sb="10" eb="11">
      <t>タイ</t>
    </rPh>
    <rPh sb="16" eb="18">
      <t>ジンタイ</t>
    </rPh>
    <rPh sb="18" eb="20">
      <t>ジッケン</t>
    </rPh>
    <rPh sb="28" eb="29">
      <t>キ</t>
    </rPh>
    <rPh sb="30" eb="31">
      <t>オモ</t>
    </rPh>
    <rPh sb="35" eb="36">
      <t>ワライ</t>
    </rPh>
    <phoneticPr fontId="1"/>
  </si>
  <si>
    <t>スミスの回復力１回分を使って色々と実験可能なのは実際のところ大きい。</t>
    <rPh sb="4" eb="7">
      <t>カイフクリョク</t>
    </rPh>
    <rPh sb="8" eb="10">
      <t>カイブン</t>
    </rPh>
    <rPh sb="11" eb="12">
      <t>ツカ</t>
    </rPh>
    <rPh sb="14" eb="16">
      <t>イロイロ</t>
    </rPh>
    <rPh sb="17" eb="19">
      <t>ジッケン</t>
    </rPh>
    <rPh sb="19" eb="21">
      <t>カノウ</t>
    </rPh>
    <rPh sb="24" eb="26">
      <t>ジッサイ</t>
    </rPh>
    <rPh sb="30" eb="31">
      <t>オオ</t>
    </rPh>
    <phoneticPr fontId="1"/>
  </si>
  <si>
    <t>元々多少頑張ったところで死ぬ時は死ぬ虚弱体質なので、カナリアで死んでもガッカリ感は小さい。</t>
    <rPh sb="0" eb="2">
      <t>モトモト</t>
    </rPh>
    <rPh sb="2" eb="4">
      <t>タショウ</t>
    </rPh>
    <rPh sb="4" eb="6">
      <t>ガンバ</t>
    </rPh>
    <rPh sb="12" eb="13">
      <t>シ</t>
    </rPh>
    <rPh sb="14" eb="15">
      <t>トキ</t>
    </rPh>
    <rPh sb="16" eb="17">
      <t>シ</t>
    </rPh>
    <rPh sb="18" eb="20">
      <t>キョジャク</t>
    </rPh>
    <rPh sb="20" eb="22">
      <t>タイシツ</t>
    </rPh>
    <rPh sb="31" eb="32">
      <t>シ</t>
    </rPh>
    <rPh sb="39" eb="40">
      <t>カン</t>
    </rPh>
    <rPh sb="41" eb="42">
      <t>チイ</t>
    </rPh>
    <phoneticPr fontId="1"/>
  </si>
  <si>
    <t>その場しのぎという意味では障害物としても期待したい。</t>
    <rPh sb="2" eb="3">
      <t>バ</t>
    </rPh>
    <rPh sb="9" eb="11">
      <t>イミ</t>
    </rPh>
    <rPh sb="13" eb="16">
      <t>ショウガイブツ</t>
    </rPh>
    <rPh sb="20" eb="22">
      <t>キタイ</t>
    </rPh>
    <phoneticPr fontId="1"/>
  </si>
  <si>
    <t>残念ながら皆、位相移動や飛行に対しては無力なのだが、</t>
    <rPh sb="0" eb="2">
      <t>ザンネン</t>
    </rPh>
    <rPh sb="5" eb="6">
      <t>ミナ</t>
    </rPh>
    <rPh sb="7" eb="9">
      <t>イソウ</t>
    </rPh>
    <rPh sb="9" eb="11">
      <t>イドウ</t>
    </rPh>
    <rPh sb="12" eb="14">
      <t>ヒコウ</t>
    </rPh>
    <rPh sb="15" eb="16">
      <t>タイ</t>
    </rPh>
    <rPh sb="19" eb="21">
      <t>ムリョク</t>
    </rPh>
    <phoneticPr fontId="1"/>
  </si>
  <si>
    <t>マスを占有し、なおかつPCは素通り可能という特性は複雑な地形では特に有効なハズ。</t>
    <rPh sb="3" eb="5">
      <t>センユウ</t>
    </rPh>
    <rPh sb="14" eb="16">
      <t>スドオ</t>
    </rPh>
    <rPh sb="17" eb="19">
      <t>カノウ</t>
    </rPh>
    <rPh sb="22" eb="24">
      <t>トクセイ</t>
    </rPh>
    <rPh sb="25" eb="27">
      <t>フクザツ</t>
    </rPh>
    <rPh sb="28" eb="30">
      <t>チケイ</t>
    </rPh>
    <rPh sb="32" eb="33">
      <t>トク</t>
    </rPh>
    <rPh sb="34" eb="36">
      <t>ユウコウ</t>
    </rPh>
    <phoneticPr fontId="1"/>
  </si>
  <si>
    <t>カナリア or 障害物としては期待したい</t>
    <rPh sb="8" eb="11">
      <t>ショウガイブツ</t>
    </rPh>
    <rPh sb="15" eb="17">
      <t>キタイ</t>
    </rPh>
    <phoneticPr fontId="1"/>
  </si>
  <si>
    <t>こうなってくるとダメージUPがメインの役割としか言えない気がしてしまうが、</t>
    <rPh sb="19" eb="21">
      <t>ヤクワリ</t>
    </rPh>
    <rPh sb="24" eb="25">
      <t>イ</t>
    </rPh>
    <rPh sb="28" eb="29">
      <t>キ</t>
    </rPh>
    <phoneticPr fontId="1"/>
  </si>
  <si>
    <t>インヴォーカー/攻撃/15　(Fr381:76)</t>
    <rPh sb="8" eb="10">
      <t>コウゲキ</t>
    </rPh>
    <phoneticPr fontId="1"/>
  </si>
  <si>
    <t>2 ( or 3 )</t>
    <phoneticPr fontId="1"/>
  </si>
  <si>
    <r>
      <t>範囲内の</t>
    </r>
    <r>
      <rPr>
        <b/>
        <sz val="11"/>
        <color rgb="FFFF0000"/>
        <rFont val="ＭＳ Ｐゴシック"/>
        <family val="3"/>
        <charset val="128"/>
        <scheme val="minor"/>
      </rPr>
      <t>すべての敵</t>
    </r>
    <rPh sb="0" eb="3">
      <t>ハンイナイ</t>
    </rPh>
    <rPh sb="8" eb="9">
      <t>テキ</t>
    </rPh>
    <phoneticPr fontId="1"/>
  </si>
  <si>
    <t>(４ｄ６＋【判断力】)の[光輝]ダメージ</t>
    <rPh sb="13" eb="15">
      <t>コウキ</t>
    </rPh>
    <phoneticPr fontId="1"/>
  </si>
  <si>
    <t>使用者は目標を１マス瞬間移動させる。</t>
    <rPh sb="0" eb="3">
      <t>シヨウシャ</t>
    </rPh>
    <rPh sb="4" eb="6">
      <t>モクヒョウ</t>
    </rPh>
    <rPh sb="10" eb="12">
      <t>シュンカン</t>
    </rPh>
    <rPh sb="12" eb="14">
      <t>イドウ</t>
    </rPh>
    <phoneticPr fontId="1"/>
  </si>
  <si>
    <t>使用者は範囲内の味方をそれぞれ範囲内の別の接敵面</t>
    <rPh sb="0" eb="3">
      <t>シヨウシャ</t>
    </rPh>
    <rPh sb="4" eb="7">
      <t>ハンイナイ</t>
    </rPh>
    <rPh sb="8" eb="10">
      <t>ミカタ</t>
    </rPh>
    <rPh sb="15" eb="18">
      <t>ハンイナイ</t>
    </rPh>
    <rPh sb="19" eb="20">
      <t>ベツ</t>
    </rPh>
    <rPh sb="21" eb="23">
      <t>セッテキ</t>
    </rPh>
    <rPh sb="23" eb="24">
      <t>メン</t>
    </rPh>
    <phoneticPr fontId="1"/>
  </si>
  <si>
    <t xml:space="preserve">もしくは範囲に隣接する接敵面に瞬間移動させる。 </t>
    <phoneticPr fontId="1"/>
  </si>
  <si>
    <t>アイ・オヴ・ドーン</t>
    <phoneticPr fontId="1"/>
  </si>
  <si>
    <t>[一日毎]◆[光輝][瞬間移動]［信仰］［装具］</t>
    <phoneticPr fontId="1"/>
  </si>
  <si>
    <r>
      <t>　　瞬間移動は強制移動では無いので</t>
    </r>
    <r>
      <rPr>
        <b/>
        <sz val="11"/>
        <color rgb="FFFF0000"/>
        <rFont val="ＭＳ Ｐゴシック"/>
        <family val="3"/>
        <charset val="128"/>
        <scheme val="minor"/>
      </rPr>
      <t>目標をあらゆる方向へ無理矢理動かす</t>
    </r>
    <r>
      <rPr>
        <sz val="11"/>
        <color theme="1"/>
        <rFont val="ＭＳ Ｐゴシック"/>
        <family val="2"/>
        <charset val="128"/>
        <scheme val="minor"/>
      </rPr>
      <t>事が可能。</t>
    </r>
    <rPh sb="2" eb="4">
      <t>シュンカン</t>
    </rPh>
    <rPh sb="4" eb="6">
      <t>イドウ</t>
    </rPh>
    <rPh sb="7" eb="9">
      <t>キョウセイ</t>
    </rPh>
    <rPh sb="9" eb="11">
      <t>イドウ</t>
    </rPh>
    <rPh sb="13" eb="14">
      <t>ナ</t>
    </rPh>
    <rPh sb="17" eb="19">
      <t>モクヒョウ</t>
    </rPh>
    <rPh sb="24" eb="26">
      <t>ホウコウ</t>
    </rPh>
    <rPh sb="27" eb="31">
      <t>ムリヤリ</t>
    </rPh>
    <rPh sb="31" eb="32">
      <t>ウゴ</t>
    </rPh>
    <rPh sb="34" eb="35">
      <t>コト</t>
    </rPh>
    <rPh sb="36" eb="38">
      <t>カノウ</t>
    </rPh>
    <phoneticPr fontId="26"/>
  </si>
  <si>
    <t>　　断崖絶壁や拘束状態等、強制移動を妨害する効果を無視して目的地へ送り込めるのは大きい。</t>
    <rPh sb="2" eb="4">
      <t>ダンガイ</t>
    </rPh>
    <rPh sb="4" eb="6">
      <t>ゼッペキ</t>
    </rPh>
    <rPh sb="7" eb="9">
      <t>コウソク</t>
    </rPh>
    <rPh sb="9" eb="12">
      <t>ジョウタイトウ</t>
    </rPh>
    <rPh sb="13" eb="15">
      <t>キョウセイ</t>
    </rPh>
    <rPh sb="15" eb="17">
      <t>イドウ</t>
    </rPh>
    <rPh sb="18" eb="20">
      <t>ボウガイ</t>
    </rPh>
    <rPh sb="22" eb="24">
      <t>コウカ</t>
    </rPh>
    <rPh sb="25" eb="27">
      <t>ムシ</t>
    </rPh>
    <rPh sb="29" eb="32">
      <t>モクテキチ</t>
    </rPh>
    <rPh sb="33" eb="34">
      <t>オク</t>
    </rPh>
    <rPh sb="35" eb="36">
      <t>コ</t>
    </rPh>
    <rPh sb="40" eb="41">
      <t>オオ</t>
    </rPh>
    <phoneticPr fontId="49"/>
  </si>
  <si>
    <t>　　もちろん危険セーヴに成功されると瞬間移動がキャンセルされて伏せも無しになってしまうが、</t>
    <rPh sb="6" eb="8">
      <t>キケン</t>
    </rPh>
    <rPh sb="12" eb="14">
      <t>セイコウ</t>
    </rPh>
    <rPh sb="18" eb="20">
      <t>シュンカン</t>
    </rPh>
    <rPh sb="20" eb="22">
      <t>イドウ</t>
    </rPh>
    <rPh sb="31" eb="32">
      <t>フ</t>
    </rPh>
    <rPh sb="34" eb="35">
      <t>ナ</t>
    </rPh>
    <phoneticPr fontId="26"/>
  </si>
  <si>
    <t>　　こうすればセーヴの成否を問わず敵の位置を変えずに済むのだ。</t>
    <rPh sb="11" eb="13">
      <t>セイヒ</t>
    </rPh>
    <rPh sb="14" eb="15">
      <t>ト</t>
    </rPh>
    <rPh sb="17" eb="18">
      <t>テキ</t>
    </rPh>
    <rPh sb="19" eb="21">
      <t>イチ</t>
    </rPh>
    <rPh sb="22" eb="23">
      <t>カ</t>
    </rPh>
    <rPh sb="26" eb="27">
      <t>ス</t>
    </rPh>
    <phoneticPr fontId="49"/>
  </si>
  <si>
    <t>①どうしても強制移動不可の敵でも味方でも強制的に移動可能？</t>
    <rPh sb="6" eb="8">
      <t>キョウセイ</t>
    </rPh>
    <rPh sb="8" eb="10">
      <t>イドウ</t>
    </rPh>
    <rPh sb="10" eb="12">
      <t>フカ</t>
    </rPh>
    <rPh sb="13" eb="14">
      <t>テキ</t>
    </rPh>
    <rPh sb="16" eb="18">
      <t>ミカタ</t>
    </rPh>
    <rPh sb="20" eb="23">
      <t>キョウセイテキ</t>
    </rPh>
    <rPh sb="24" eb="26">
      <t>イドウ</t>
    </rPh>
    <rPh sb="26" eb="28">
      <t>カノウ</t>
    </rPh>
    <phoneticPr fontId="26"/>
  </si>
  <si>
    <r>
      <t>②不確定だが</t>
    </r>
    <r>
      <rPr>
        <b/>
        <sz val="11"/>
        <color indexed="10"/>
        <rFont val="ＭＳ Ｐゴシック"/>
        <family val="3"/>
        <charset val="128"/>
      </rPr>
      <t>伏せ</t>
    </r>
    <r>
      <rPr>
        <sz val="11"/>
        <color theme="1"/>
        <rFont val="ＭＳ Ｐゴシック"/>
        <family val="2"/>
        <charset val="128"/>
        <scheme val="minor"/>
      </rPr>
      <t>狙っちゃう？</t>
    </r>
    <rPh sb="1" eb="4">
      <t>フカクテイ</t>
    </rPh>
    <rPh sb="6" eb="7">
      <t>フ</t>
    </rPh>
    <rPh sb="8" eb="9">
      <t>ネラ</t>
    </rPh>
    <phoneticPr fontId="26"/>
  </si>
  <si>
    <t>コレはもう集中攻撃用で確定。</t>
    <rPh sb="5" eb="7">
      <t>シュウチュウ</t>
    </rPh>
    <rPh sb="7" eb="9">
      <t>コウゲキ</t>
    </rPh>
    <rPh sb="9" eb="10">
      <t>ヨウ</t>
    </rPh>
    <rPh sb="11" eb="13">
      <t>カクテイ</t>
    </rPh>
    <phoneticPr fontId="1"/>
  </si>
  <si>
    <t>　　アイアーとのコンボで大ダメージなので集中攻撃時にも効果は大きい。</t>
    <rPh sb="12" eb="13">
      <t>ダイ</t>
    </rPh>
    <rPh sb="20" eb="22">
      <t>シュウチュウ</t>
    </rPh>
    <rPh sb="22" eb="24">
      <t>コウゲキ</t>
    </rPh>
    <rPh sb="24" eb="25">
      <t>ジ</t>
    </rPh>
    <rPh sb="27" eb="29">
      <t>コウカ</t>
    </rPh>
    <rPh sb="30" eb="31">
      <t>オオ</t>
    </rPh>
    <phoneticPr fontId="49"/>
  </si>
  <si>
    <t>　　非飛行クリ―チャ―を垂直に２マス以上浮かせて落下させれば、その場で落下ダメージ＋伏せ！</t>
    <rPh sb="2" eb="3">
      <t>ヒ</t>
    </rPh>
    <rPh sb="3" eb="5">
      <t>ヒコウ</t>
    </rPh>
    <rPh sb="12" eb="14">
      <t>スイチョク</t>
    </rPh>
    <rPh sb="18" eb="20">
      <t>イジョウ</t>
    </rPh>
    <rPh sb="20" eb="21">
      <t>ウ</t>
    </rPh>
    <rPh sb="24" eb="26">
      <t>ラッカ</t>
    </rPh>
    <rPh sb="33" eb="34">
      <t>バ</t>
    </rPh>
    <rPh sb="35" eb="37">
      <t>ラッカ</t>
    </rPh>
    <rPh sb="42" eb="43">
      <t>フ</t>
    </rPh>
    <phoneticPr fontId="26"/>
  </si>
  <si>
    <t>アストラル・ステップ</t>
    <phoneticPr fontId="1"/>
  </si>
  <si>
    <t>③アストラル・ステップの予備</t>
    <rPh sb="12" eb="14">
      <t>ヨビ</t>
    </rPh>
    <phoneticPr fontId="26"/>
  </si>
  <si>
    <t>　　一応工夫すれば、アストラル・ステップ並みに味方を運ぶ事が可能だが、自分は無理。</t>
    <rPh sb="2" eb="4">
      <t>イチオウ</t>
    </rPh>
    <rPh sb="4" eb="6">
      <t>クフウ</t>
    </rPh>
    <rPh sb="20" eb="21">
      <t>ナ</t>
    </rPh>
    <rPh sb="23" eb="25">
      <t>ミカタ</t>
    </rPh>
    <rPh sb="26" eb="27">
      <t>ハコ</t>
    </rPh>
    <rPh sb="28" eb="29">
      <t>コト</t>
    </rPh>
    <rPh sb="30" eb="32">
      <t>カノウ</t>
    </rPh>
    <rPh sb="35" eb="37">
      <t>ジブン</t>
    </rPh>
    <rPh sb="38" eb="40">
      <t>ムリ</t>
    </rPh>
    <phoneticPr fontId="26"/>
  </si>
  <si>
    <r>
      <t>　　このパワー、実は</t>
    </r>
    <r>
      <rPr>
        <b/>
        <sz val="11"/>
        <color rgb="FFFF0000"/>
        <rFont val="ＭＳ Ｐゴシック"/>
        <family val="3"/>
        <charset val="128"/>
        <scheme val="minor"/>
      </rPr>
      <t>ヒット後も敵を同じマスに留めるには真上へ飛ばすしか方法がない！</t>
    </r>
    <rPh sb="8" eb="9">
      <t>ジツ</t>
    </rPh>
    <rPh sb="17" eb="18">
      <t>オナ</t>
    </rPh>
    <rPh sb="27" eb="28">
      <t>マ</t>
    </rPh>
    <rPh sb="28" eb="29">
      <t>ウエ</t>
    </rPh>
    <rPh sb="35" eb="37">
      <t>ホウホウ</t>
    </rPh>
    <phoneticPr fontId="26"/>
  </si>
  <si>
    <t>インヴォーカー/汎用/１６　(信39)</t>
    <rPh sb="8" eb="10">
      <t>ハンヨウ</t>
    </rPh>
    <phoneticPr fontId="1"/>
  </si>
  <si>
    <t>[遭遇毎]◆[瞬間移動][信仰]</t>
    <rPh sb="1" eb="3">
      <t>ソウグウ</t>
    </rPh>
    <rPh sb="3" eb="4">
      <t>マイ</t>
    </rPh>
    <phoneticPr fontId="1"/>
  </si>
  <si>
    <t>即応・割込</t>
  </si>
  <si>
    <t>トリガー</t>
    <phoneticPr fontId="1"/>
  </si>
  <si>
    <r>
      <t>使用者はトリガーを発生させた敵の攻撃を受けずに</t>
    </r>
    <r>
      <rPr>
        <b/>
        <sz val="11"/>
        <color rgb="FFFF0000"/>
        <rFont val="ＭＳ Ｐゴシック"/>
        <family val="3"/>
        <charset val="128"/>
        <scheme val="minor"/>
      </rPr>
      <t>10マス瞬間移動</t>
    </r>
    <r>
      <rPr>
        <sz val="11"/>
        <rFont val="ＭＳ Ｐゴシック"/>
        <family val="3"/>
        <charset val="128"/>
        <scheme val="minor"/>
      </rPr>
      <t>する。</t>
    </r>
    <phoneticPr fontId="1"/>
  </si>
  <si>
    <r>
      <t>使用者は</t>
    </r>
    <r>
      <rPr>
        <b/>
        <sz val="11"/>
        <color rgb="FFFF0000"/>
        <rFont val="ＭＳ Ｐゴシック"/>
        <family val="3"/>
        <charset val="128"/>
        <scheme val="minor"/>
      </rPr>
      <t>次の自分のターン終了時まで幻惑状態</t>
    </r>
    <r>
      <rPr>
        <sz val="11"/>
        <color theme="1"/>
        <rFont val="ＭＳ Ｐゴシック"/>
        <family val="2"/>
        <charset val="128"/>
        <scheme val="minor"/>
      </rPr>
      <t>になる。</t>
    </r>
    <rPh sb="12" eb="15">
      <t>シュウリョウジ</t>
    </rPh>
    <phoneticPr fontId="1"/>
  </si>
  <si>
    <t>使用者がトリガーを発生させた攻撃の唯一の目標であった場合、</t>
    <rPh sb="26" eb="28">
      <t>バアイ</t>
    </rPh>
    <phoneticPr fontId="1"/>
  </si>
  <si>
    <r>
      <t>1体の</t>
    </r>
    <r>
      <rPr>
        <b/>
        <sz val="11"/>
        <color rgb="FFFF0000"/>
        <rFont val="ＭＳ Ｐゴシック"/>
        <family val="3"/>
        <charset val="128"/>
        <scheme val="minor"/>
      </rPr>
      <t>敵</t>
    </r>
    <r>
      <rPr>
        <sz val="11"/>
        <rFont val="ＭＳ Ｐゴシック"/>
        <family val="3"/>
        <charset val="128"/>
        <scheme val="minor"/>
      </rPr>
      <t>が使用者に対して攻撃を行う</t>
    </r>
    <phoneticPr fontId="1"/>
  </si>
  <si>
    <t>攻撃者は（訳注：その攻撃のアクションの代わりに）1回の別のアクションを行う事ができる。</t>
    <phoneticPr fontId="1"/>
  </si>
  <si>
    <t>②トリガーを引けるのは敵からの攻撃のみ！</t>
    <phoneticPr fontId="1"/>
  </si>
  <si>
    <t>ワード・オヴ・レフュージ</t>
    <phoneticPr fontId="1"/>
  </si>
  <si>
    <t>イーライのスウィフト・エスケープと似ているように見えるが、その実、全く効果が異なるパワー</t>
    <rPh sb="17" eb="18">
      <t>ニ</t>
    </rPh>
    <rPh sb="24" eb="25">
      <t>ミ</t>
    </rPh>
    <rPh sb="31" eb="32">
      <t>ジツ</t>
    </rPh>
    <rPh sb="33" eb="34">
      <t>マッタ</t>
    </rPh>
    <rPh sb="35" eb="37">
      <t>コウカ</t>
    </rPh>
    <rPh sb="38" eb="39">
      <t>コト</t>
    </rPh>
    <phoneticPr fontId="1"/>
  </si>
  <si>
    <t>　　攻撃がヒットしてから宣言するのでは遅い、遅すぎる！</t>
    <rPh sb="2" eb="4">
      <t>コウゲキ</t>
    </rPh>
    <rPh sb="12" eb="14">
      <t>センゲン</t>
    </rPh>
    <rPh sb="19" eb="20">
      <t>オソ</t>
    </rPh>
    <rPh sb="22" eb="23">
      <t>オソ</t>
    </rPh>
    <phoneticPr fontId="1"/>
  </si>
  <si>
    <t>　　敵が範囲攻撃を宣言したらコチラも宣言、それ位のノリでないと使用タイミングを逃しかねない。</t>
    <rPh sb="2" eb="3">
      <t>テキ</t>
    </rPh>
    <rPh sb="4" eb="6">
      <t>ハンイ</t>
    </rPh>
    <rPh sb="6" eb="8">
      <t>コウゲキ</t>
    </rPh>
    <rPh sb="9" eb="11">
      <t>センゲン</t>
    </rPh>
    <rPh sb="18" eb="20">
      <t>センゲン</t>
    </rPh>
    <rPh sb="23" eb="24">
      <t>クライ</t>
    </rPh>
    <rPh sb="31" eb="33">
      <t>シヨウ</t>
    </rPh>
    <rPh sb="39" eb="40">
      <t>ノガ</t>
    </rPh>
    <phoneticPr fontId="1"/>
  </si>
  <si>
    <t>　　トラップからの攻撃も回避不可能なので、スミスがカナリア時に使う事も恐らく無理。</t>
    <rPh sb="9" eb="11">
      <t>コウゲキ</t>
    </rPh>
    <rPh sb="12" eb="14">
      <t>カイヒ</t>
    </rPh>
    <rPh sb="14" eb="17">
      <t>フカノウ</t>
    </rPh>
    <rPh sb="29" eb="30">
      <t>ジ</t>
    </rPh>
    <rPh sb="31" eb="32">
      <t>ツカ</t>
    </rPh>
    <rPh sb="33" eb="34">
      <t>コト</t>
    </rPh>
    <rPh sb="35" eb="36">
      <t>オソ</t>
    </rPh>
    <rPh sb="38" eb="40">
      <t>ムリ</t>
    </rPh>
    <phoneticPr fontId="1"/>
  </si>
  <si>
    <t>③遭遇毎や再チャージの単発攻撃を潰せるのか？</t>
    <rPh sb="1" eb="3">
      <t>ソウグウ</t>
    </rPh>
    <rPh sb="3" eb="4">
      <t>マイ</t>
    </rPh>
    <rPh sb="5" eb="6">
      <t>サイ</t>
    </rPh>
    <rPh sb="11" eb="13">
      <t>タンパツ</t>
    </rPh>
    <rPh sb="13" eb="15">
      <t>コウゲキ</t>
    </rPh>
    <rPh sb="16" eb="17">
      <t>ツブ</t>
    </rPh>
    <phoneticPr fontId="1"/>
  </si>
  <si>
    <t>　　このパワーで敵の必殺技を事実上潰せると解釈可能！</t>
    <rPh sb="8" eb="9">
      <t>テキ</t>
    </rPh>
    <rPh sb="10" eb="13">
      <t>ヒッサツワザ</t>
    </rPh>
    <rPh sb="14" eb="17">
      <t>ジジツジョウ</t>
    </rPh>
    <rPh sb="17" eb="18">
      <t>ツブ</t>
    </rPh>
    <rPh sb="21" eb="23">
      <t>カイシャク</t>
    </rPh>
    <rPh sb="23" eb="25">
      <t>カノウ</t>
    </rPh>
    <phoneticPr fontId="1"/>
  </si>
  <si>
    <t>サイレント・マレディクション</t>
    <phoneticPr fontId="1"/>
  </si>
  <si>
    <t>　　両立させるのが不可能って時点で最早、どうしようもない。</t>
    <rPh sb="2" eb="4">
      <t>リョウリツ</t>
    </rPh>
    <rPh sb="9" eb="12">
      <t>フカノウ</t>
    </rPh>
    <rPh sb="14" eb="16">
      <t>ジテン</t>
    </rPh>
    <rPh sb="17" eb="19">
      <t>モハヤ</t>
    </rPh>
    <phoneticPr fontId="1"/>
  </si>
  <si>
    <t>④セーヴだけさせる</t>
    <phoneticPr fontId="1"/>
  </si>
  <si>
    <t>　　回復力の使用は任意なので、セーヴだけを目的に使用は可能だが、</t>
    <rPh sb="2" eb="5">
      <t>カイフクリョク</t>
    </rPh>
    <rPh sb="6" eb="8">
      <t>シヨウ</t>
    </rPh>
    <rPh sb="9" eb="11">
      <t>ニンイ</t>
    </rPh>
    <rPh sb="21" eb="23">
      <t>モクテキ</t>
    </rPh>
    <rPh sb="24" eb="26">
      <t>シヨウ</t>
    </rPh>
    <rPh sb="27" eb="29">
      <t>カノウ</t>
    </rPh>
    <phoneticPr fontId="1"/>
  </si>
  <si>
    <t>　　という疑惑が晴れない。</t>
    <rPh sb="5" eb="7">
      <t>ギワク</t>
    </rPh>
    <rPh sb="8" eb="9">
      <t>ハ</t>
    </rPh>
    <phoneticPr fontId="1"/>
  </si>
  <si>
    <t>①パワー使用を宣言するのは敵の攻撃ロールの前</t>
    <rPh sb="4" eb="6">
      <t>シヨウ</t>
    </rPh>
    <rPh sb="7" eb="9">
      <t>センゲン</t>
    </rPh>
    <rPh sb="13" eb="14">
      <t>テキ</t>
    </rPh>
    <rPh sb="15" eb="17">
      <t>コウゲキ</t>
    </rPh>
    <rPh sb="21" eb="22">
      <t>マエ</t>
    </rPh>
    <phoneticPr fontId="1"/>
  </si>
  <si>
    <t>　　遭遇毎だし基本的に出し惜しみする程の効果では無いと思われるので、とっとと決断するのが吉。</t>
    <rPh sb="2" eb="4">
      <t>ソウグウ</t>
    </rPh>
    <rPh sb="4" eb="5">
      <t>マイ</t>
    </rPh>
    <rPh sb="7" eb="10">
      <t>キホンテキ</t>
    </rPh>
    <rPh sb="11" eb="12">
      <t>ダ</t>
    </rPh>
    <rPh sb="13" eb="14">
      <t>オ</t>
    </rPh>
    <rPh sb="18" eb="19">
      <t>ホド</t>
    </rPh>
    <rPh sb="20" eb="22">
      <t>コウカ</t>
    </rPh>
    <rPh sb="24" eb="25">
      <t>ナ</t>
    </rPh>
    <rPh sb="27" eb="28">
      <t>オモ</t>
    </rPh>
    <rPh sb="38" eb="40">
      <t>ケツダン</t>
    </rPh>
    <rPh sb="44" eb="45">
      <t>キチ</t>
    </rPh>
    <phoneticPr fontId="1"/>
  </si>
  <si>
    <t>　　瞬間移動で逃げる事を目的に味方（主にイーライ）の攻撃に巻き込まれるのは全く無意味。</t>
    <rPh sb="2" eb="6">
      <t>シュンカン</t>
    </rPh>
    <rPh sb="7" eb="8">
      <t>ニ</t>
    </rPh>
    <rPh sb="10" eb="11">
      <t>コト</t>
    </rPh>
    <rPh sb="12" eb="14">
      <t>モクテキ</t>
    </rPh>
    <rPh sb="15" eb="17">
      <t>ミカタ</t>
    </rPh>
    <rPh sb="18" eb="19">
      <t>オモ</t>
    </rPh>
    <rPh sb="26" eb="28">
      <t>コウゲキ</t>
    </rPh>
    <rPh sb="29" eb="30">
      <t>マ</t>
    </rPh>
    <rPh sb="31" eb="32">
      <t>コ</t>
    </rPh>
    <rPh sb="37" eb="38">
      <t>マッタ</t>
    </rPh>
    <rPh sb="39" eb="42">
      <t>ムイミ</t>
    </rPh>
    <phoneticPr fontId="1"/>
  </si>
  <si>
    <t>　　しかも支配状態の味方から逃げるのにまで使えないのは、意外と痛い・・・。</t>
    <rPh sb="5" eb="7">
      <t>シハイ</t>
    </rPh>
    <rPh sb="7" eb="9">
      <t>ジョウタイ</t>
    </rPh>
    <rPh sb="10" eb="12">
      <t>ミカタ</t>
    </rPh>
    <rPh sb="14" eb="15">
      <t>ニ</t>
    </rPh>
    <rPh sb="21" eb="22">
      <t>ツカ</t>
    </rPh>
    <rPh sb="28" eb="30">
      <t>イガイ</t>
    </rPh>
    <rPh sb="31" eb="32">
      <t>イタ</t>
    </rPh>
    <phoneticPr fontId="1"/>
  </si>
  <si>
    <t>　　ただやはり、狙って特定のパワーを殺りにいくのは難しいだろう・・・。</t>
    <rPh sb="8" eb="9">
      <t>ネラ</t>
    </rPh>
    <rPh sb="11" eb="13">
      <t>トクテイ</t>
    </rPh>
    <rPh sb="18" eb="19">
      <t>コロ</t>
    </rPh>
    <rPh sb="25" eb="26">
      <t>ムズカ</t>
    </rPh>
    <phoneticPr fontId="1"/>
  </si>
  <si>
    <t>　　必殺技潰しに固執し過ぎて適切な使用タイミングを逃してしまっては本末転倒。</t>
    <rPh sb="2" eb="4">
      <t>ヒッサツ</t>
    </rPh>
    <rPh sb="4" eb="5">
      <t>ワザ</t>
    </rPh>
    <rPh sb="5" eb="6">
      <t>ツブ</t>
    </rPh>
    <rPh sb="8" eb="10">
      <t>コシツ</t>
    </rPh>
    <rPh sb="11" eb="12">
      <t>ス</t>
    </rPh>
    <rPh sb="14" eb="16">
      <t>テキセツ</t>
    </rPh>
    <rPh sb="17" eb="19">
      <t>シヨウ</t>
    </rPh>
    <rPh sb="25" eb="26">
      <t>ノガ</t>
    </rPh>
    <rPh sb="33" eb="37">
      <t>ホンマツテントウ</t>
    </rPh>
    <phoneticPr fontId="1"/>
  </si>
  <si>
    <t>　　残念賞のアクションは行えるものの使用回数は回復しないハズなので、</t>
    <rPh sb="2" eb="4">
      <t>ザンネン</t>
    </rPh>
    <rPh sb="4" eb="5">
      <t>ショウ</t>
    </rPh>
    <rPh sb="12" eb="13">
      <t>オコ</t>
    </rPh>
    <rPh sb="18" eb="20">
      <t>シヨウ</t>
    </rPh>
    <rPh sb="20" eb="22">
      <t>カイスウ</t>
    </rPh>
    <rPh sb="23" eb="25">
      <t>カイフク</t>
    </rPh>
    <phoneticPr fontId="1"/>
  </si>
  <si>
    <t>　　ほぼ確実に攻撃を回避可能と期待できるが、問題は直後の残念賞のアクションの方。</t>
    <rPh sb="4" eb="6">
      <t>カクジツ</t>
    </rPh>
    <rPh sb="7" eb="9">
      <t>コウゲキ</t>
    </rPh>
    <rPh sb="10" eb="12">
      <t>カイヒ</t>
    </rPh>
    <rPh sb="12" eb="14">
      <t>カノウ</t>
    </rPh>
    <rPh sb="15" eb="17">
      <t>キタイ</t>
    </rPh>
    <rPh sb="22" eb="24">
      <t>モンダイ</t>
    </rPh>
    <rPh sb="25" eb="27">
      <t>チョクゴ</t>
    </rPh>
    <rPh sb="28" eb="30">
      <t>ザンネン</t>
    </rPh>
    <rPh sb="30" eb="31">
      <t>ショウ</t>
    </rPh>
    <rPh sb="38" eb="39">
      <t>ホウ</t>
    </rPh>
    <phoneticPr fontId="1"/>
  </si>
  <si>
    <t>　　突撃後は（AP効果を除く）いかなるアクションが残っていてもターンが強制終了されるハズなので、</t>
    <rPh sb="2" eb="4">
      <t>トツゲキ</t>
    </rPh>
    <rPh sb="4" eb="5">
      <t>ゴ</t>
    </rPh>
    <rPh sb="9" eb="11">
      <t>コウカ</t>
    </rPh>
    <rPh sb="12" eb="13">
      <t>ノゾ</t>
    </rPh>
    <rPh sb="25" eb="26">
      <t>ノコ</t>
    </rPh>
    <rPh sb="35" eb="37">
      <t>キョウセイ</t>
    </rPh>
    <rPh sb="37" eb="39">
      <t>シュウリョウ</t>
    </rPh>
    <phoneticPr fontId="1"/>
  </si>
  <si>
    <t>　　残念賞はもらえてもアクションは不可能と解釈するのが妥当かと。</t>
    <rPh sb="2" eb="4">
      <t>ザンネン</t>
    </rPh>
    <rPh sb="4" eb="5">
      <t>ショウ</t>
    </rPh>
    <rPh sb="17" eb="20">
      <t>フカノウ</t>
    </rPh>
    <rPh sb="21" eb="23">
      <t>カイシャク</t>
    </rPh>
    <rPh sb="27" eb="29">
      <t>ダトウ</t>
    </rPh>
    <phoneticPr fontId="1"/>
  </si>
  <si>
    <t>　　そうでないと敵の挙動が相当怪しい事になりそうな予感が・・・。</t>
    <rPh sb="8" eb="9">
      <t>テキ</t>
    </rPh>
    <rPh sb="10" eb="12">
      <t>キョドウ</t>
    </rPh>
    <rPh sb="13" eb="15">
      <t>ソウトウ</t>
    </rPh>
    <rPh sb="15" eb="16">
      <t>アヤ</t>
    </rPh>
    <rPh sb="18" eb="19">
      <t>コト</t>
    </rPh>
    <rPh sb="25" eb="27">
      <t>ヨカン</t>
    </rPh>
    <phoneticPr fontId="1"/>
  </si>
  <si>
    <t>　　まァ例外もあるが基本的に召喚は機会攻撃のプレッシャーを与えてナンボなので、</t>
    <rPh sb="4" eb="6">
      <t>レイガイ</t>
    </rPh>
    <rPh sb="10" eb="13">
      <t>キホンテキ</t>
    </rPh>
    <rPh sb="14" eb="16">
      <t>ショウカン</t>
    </rPh>
    <rPh sb="17" eb="19">
      <t>キカイ</t>
    </rPh>
    <rPh sb="19" eb="21">
      <t>コウゲキ</t>
    </rPh>
    <rPh sb="29" eb="30">
      <t>アタ</t>
    </rPh>
    <phoneticPr fontId="1"/>
  </si>
  <si>
    <t>　　いくら自分のターンは無双の意志でフォロー可能であっても難がある・・・。</t>
    <rPh sb="5" eb="7">
      <t>ジブン</t>
    </rPh>
    <rPh sb="12" eb="14">
      <t>ムソウ</t>
    </rPh>
    <rPh sb="15" eb="17">
      <t>イシ</t>
    </rPh>
    <rPh sb="22" eb="24">
      <t>カノウ</t>
    </rPh>
    <rPh sb="29" eb="30">
      <t>ナン</t>
    </rPh>
    <phoneticPr fontId="1"/>
  </si>
  <si>
    <t>　　あっさり本体が幻惑してしまう状況は正直言って望ましく無い。</t>
    <rPh sb="6" eb="8">
      <t>ホンタイ</t>
    </rPh>
    <rPh sb="9" eb="11">
      <t>ゲンワク</t>
    </rPh>
    <rPh sb="16" eb="18">
      <t>ジョウキョウ</t>
    </rPh>
    <rPh sb="19" eb="21">
      <t>ショウジキ</t>
    </rPh>
    <rPh sb="21" eb="22">
      <t>イ</t>
    </rPh>
    <rPh sb="24" eb="25">
      <t>ノゾ</t>
    </rPh>
    <rPh sb="28" eb="29">
      <t>ナ</t>
    </rPh>
    <phoneticPr fontId="1"/>
  </si>
  <si>
    <t>　　即応パワーは召喚パワーを使用する前に出し惜しみせずに使っておくのが理想的か？</t>
    <rPh sb="2" eb="4">
      <t>ソクオウ</t>
    </rPh>
    <rPh sb="8" eb="10">
      <t>ショウカン</t>
    </rPh>
    <rPh sb="14" eb="16">
      <t>シヨウ</t>
    </rPh>
    <rPh sb="18" eb="19">
      <t>マエ</t>
    </rPh>
    <rPh sb="20" eb="21">
      <t>ダ</t>
    </rPh>
    <rPh sb="22" eb="23">
      <t>オ</t>
    </rPh>
    <rPh sb="28" eb="29">
      <t>ツカ</t>
    </rPh>
    <rPh sb="35" eb="38">
      <t>リソウテキ</t>
    </rPh>
    <phoneticPr fontId="1"/>
  </si>
  <si>
    <t>　　コイツをブッ放した後で逃げるのに使えたら最高だったのだが、世の中甘くは無い。</t>
    <rPh sb="8" eb="9">
      <t>ハナ</t>
    </rPh>
    <rPh sb="11" eb="12">
      <t>アト</t>
    </rPh>
    <rPh sb="13" eb="14">
      <t>ニ</t>
    </rPh>
    <rPh sb="18" eb="19">
      <t>ツカ</t>
    </rPh>
    <rPh sb="22" eb="24">
      <t>サイコウ</t>
    </rPh>
    <rPh sb="31" eb="32">
      <t>ヨ</t>
    </rPh>
    <rPh sb="33" eb="34">
      <t>ナカ</t>
    </rPh>
    <rPh sb="34" eb="35">
      <t>アマ</t>
    </rPh>
    <rPh sb="37" eb="38">
      <t>ナ</t>
    </rPh>
    <phoneticPr fontId="1"/>
  </si>
  <si>
    <t>　　結局のところ即応は遭遇序盤にとっとと使っておく以外に解決策は無い。</t>
    <rPh sb="2" eb="4">
      <t>ケッキョク</t>
    </rPh>
    <rPh sb="8" eb="10">
      <t>ソクオウ</t>
    </rPh>
    <rPh sb="11" eb="13">
      <t>ソウグウ</t>
    </rPh>
    <rPh sb="13" eb="15">
      <t>ジョバン</t>
    </rPh>
    <rPh sb="20" eb="21">
      <t>ツカ</t>
    </rPh>
    <rPh sb="25" eb="27">
      <t>イガイ</t>
    </rPh>
    <rPh sb="28" eb="31">
      <t>カイケツサク</t>
    </rPh>
    <rPh sb="32" eb="33">
      <t>ナ</t>
    </rPh>
    <phoneticPr fontId="1"/>
  </si>
  <si>
    <t>　　機会アクションや即応アクションの回数制限ルールを考慮すると</t>
    <rPh sb="2" eb="4">
      <t>キカイ</t>
    </rPh>
    <rPh sb="10" eb="12">
      <t>ソクオウ</t>
    </rPh>
    <rPh sb="18" eb="20">
      <t>カイスウ</t>
    </rPh>
    <rPh sb="20" eb="22">
      <t>セイゲン</t>
    </rPh>
    <rPh sb="26" eb="28">
      <t>コウリョ</t>
    </rPh>
    <phoneticPr fontId="1"/>
  </si>
  <si>
    <t>　　他人のターン中である以上、残念賞はもらえてもアクションは不可能と解釈するのが妥当かと。</t>
    <rPh sb="2" eb="4">
      <t>タニン</t>
    </rPh>
    <rPh sb="8" eb="9">
      <t>チュウ</t>
    </rPh>
    <rPh sb="12" eb="14">
      <t>イジョウ</t>
    </rPh>
    <rPh sb="15" eb="17">
      <t>ザンネン</t>
    </rPh>
    <rPh sb="17" eb="18">
      <t>ショウ</t>
    </rPh>
    <rPh sb="30" eb="33">
      <t>フカノウ</t>
    </rPh>
    <rPh sb="34" eb="36">
      <t>カイシャク</t>
    </rPh>
    <rPh sb="40" eb="42">
      <t>ダトウ</t>
    </rPh>
    <phoneticPr fontId="1"/>
  </si>
  <si>
    <t>　　フリーの攻撃は１ターン１回ポッキリ縛りを考慮すると</t>
    <rPh sb="6" eb="8">
      <t>コウゲキ</t>
    </rPh>
    <rPh sb="14" eb="15">
      <t>カイ</t>
    </rPh>
    <rPh sb="19" eb="20">
      <t>シバ</t>
    </rPh>
    <rPh sb="22" eb="24">
      <t>コウリョ</t>
    </rPh>
    <phoneticPr fontId="1"/>
  </si>
  <si>
    <t>④フリーアクションの攻撃に対して使うと・・・</t>
    <rPh sb="10" eb="12">
      <t>コウゲキ</t>
    </rPh>
    <rPh sb="13" eb="14">
      <t>タイ</t>
    </rPh>
    <rPh sb="16" eb="17">
      <t>ツカ</t>
    </rPh>
    <phoneticPr fontId="1"/>
  </si>
  <si>
    <t>　　そうでないと敵の挙動が相当怪しい事になりそうな（以下略）。</t>
    <rPh sb="8" eb="9">
      <t>テキ</t>
    </rPh>
    <rPh sb="10" eb="12">
      <t>キョドウ</t>
    </rPh>
    <rPh sb="13" eb="15">
      <t>ソウトウ</t>
    </rPh>
    <rPh sb="15" eb="16">
      <t>アヤ</t>
    </rPh>
    <rPh sb="18" eb="19">
      <t>コト</t>
    </rPh>
    <rPh sb="26" eb="29">
      <t>イカリャク</t>
    </rPh>
    <phoneticPr fontId="1"/>
  </si>
  <si>
    <t>⑤突撃に対して使うと・・・</t>
    <rPh sb="1" eb="3">
      <t>トツゲキ</t>
    </rPh>
    <rPh sb="4" eb="5">
      <t>タイ</t>
    </rPh>
    <rPh sb="7" eb="8">
      <t>ツカ</t>
    </rPh>
    <phoneticPr fontId="1"/>
  </si>
  <si>
    <t>⑥機会攻撃や即応に対して使うと・・・</t>
    <rPh sb="1" eb="3">
      <t>キカイ</t>
    </rPh>
    <rPh sb="3" eb="5">
      <t>コウゲキ</t>
    </rPh>
    <rPh sb="6" eb="8">
      <t>ソクオウ</t>
    </rPh>
    <rPh sb="9" eb="10">
      <t>タイ</t>
    </rPh>
    <rPh sb="12" eb="13">
      <t>ツカ</t>
    </rPh>
    <phoneticPr fontId="1"/>
  </si>
  <si>
    <t>⑦召喚と相性が悪い</t>
    <rPh sb="1" eb="3">
      <t>ショウカン</t>
    </rPh>
    <rPh sb="4" eb="6">
      <t>アイショウ</t>
    </rPh>
    <rPh sb="7" eb="8">
      <t>ワル</t>
    </rPh>
    <phoneticPr fontId="1"/>
  </si>
  <si>
    <t>⑧サイレント・マレディクションと相性が悪い</t>
    <rPh sb="16" eb="18">
      <t>アイショウ</t>
    </rPh>
    <rPh sb="19" eb="20">
      <t>ワル</t>
    </rPh>
    <phoneticPr fontId="1"/>
  </si>
  <si>
    <t>⑨大音声と相性が悪い</t>
    <rPh sb="1" eb="4">
      <t>ダイオンセイ</t>
    </rPh>
    <rPh sb="5" eb="7">
      <t>アイショウ</t>
    </rPh>
    <rPh sb="8" eb="9">
      <t>ワル</t>
    </rPh>
    <phoneticPr fontId="1"/>
  </si>
  <si>
    <t>　　そうでないと敵の挙動が相当怪しい（以下略）。</t>
    <rPh sb="8" eb="9">
      <t>テキ</t>
    </rPh>
    <rPh sb="10" eb="12">
      <t>キョドウ</t>
    </rPh>
    <rPh sb="13" eb="15">
      <t>ソウトウ</t>
    </rPh>
    <rPh sb="15" eb="16">
      <t>アヤ</t>
    </rPh>
    <rPh sb="19" eb="22">
      <t>イカリャク</t>
    </rPh>
    <phoneticPr fontId="1"/>
  </si>
  <si>
    <t>★：大音声(信仰44)</t>
    <rPh sb="6" eb="8">
      <t>シンコウ</t>
    </rPh>
    <phoneticPr fontId="1"/>
  </si>
  <si>
    <r>
      <t>　　だったら</t>
    </r>
    <r>
      <rPr>
        <b/>
        <sz val="11"/>
        <color rgb="FFFF0000"/>
        <rFont val="ＭＳ Ｐゴシック"/>
        <family val="3"/>
        <charset val="128"/>
        <scheme val="minor"/>
      </rPr>
      <t>スミスは判断力が高いのだから治療判定でいいんじゃないのか？</t>
    </r>
    <rPh sb="10" eb="13">
      <t>ハンダンリョク</t>
    </rPh>
    <rPh sb="14" eb="15">
      <t>タカ</t>
    </rPh>
    <rPh sb="20" eb="22">
      <t>チリョウ</t>
    </rPh>
    <rPh sb="22" eb="24">
      <t>ハンテイ</t>
    </rPh>
    <phoneticPr fontId="1"/>
  </si>
  <si>
    <t>カース・オヴ・ヘイムナスーン</t>
    <phoneticPr fontId="1"/>
  </si>
  <si>
    <t>インヴォーカー/攻撃/１　(PHⅡ58)</t>
    <rPh sb="8" eb="10">
      <t>コウゲキ</t>
    </rPh>
    <phoneticPr fontId="1"/>
  </si>
  <si>
    <t>(２ｄ８＋【判断力】)ダメージ</t>
    <phoneticPr fontId="1"/>
  </si>
  <si>
    <r>
      <t>目標は使用者の次T終まで</t>
    </r>
    <r>
      <rPr>
        <b/>
        <sz val="11"/>
        <color rgb="FFFF0000"/>
        <rFont val="ＭＳ Ｐゴシック"/>
        <family val="3"/>
        <charset val="128"/>
        <scheme val="minor"/>
      </rPr>
      <t>幻惑状態かつ動けない状態</t>
    </r>
    <r>
      <rPr>
        <sz val="11"/>
        <rFont val="ＭＳ Ｐゴシック"/>
        <family val="3"/>
        <charset val="128"/>
        <scheme val="minor"/>
      </rPr>
      <t>になる。</t>
    </r>
    <rPh sb="0" eb="2">
      <t>モクヒョウ</t>
    </rPh>
    <rPh sb="3" eb="6">
      <t>シヨウシャ</t>
    </rPh>
    <rPh sb="7" eb="8">
      <t>ジ</t>
    </rPh>
    <rPh sb="9" eb="10">
      <t>シュウ</t>
    </rPh>
    <rPh sb="12" eb="14">
      <t>ゲンワク</t>
    </rPh>
    <rPh sb="14" eb="16">
      <t>ジョウタイ</t>
    </rPh>
    <rPh sb="18" eb="19">
      <t>ウゴ</t>
    </rPh>
    <rPh sb="22" eb="24">
      <t>ジョウタイ</t>
    </rPh>
    <phoneticPr fontId="1"/>
  </si>
  <si>
    <t>ヴィシャス･スタッフ　Lv17</t>
    <phoneticPr fontId="1"/>
  </si>
  <si>
    <t>パワー情報</t>
    <rPh sb="3" eb="5">
      <t>ジョウホウ</t>
    </rPh>
    <phoneticPr fontId="1"/>
  </si>
  <si>
    <t>MAX</t>
    <phoneticPr fontId="1"/>
  </si>
  <si>
    <t>ウォー・リング</t>
    <phoneticPr fontId="1"/>
  </si>
  <si>
    <t>　　ＲＪのマークは持続時間が長いので、このパワーが一度ヒットすれば、</t>
    <rPh sb="9" eb="11">
      <t>ジゾク</t>
    </rPh>
    <rPh sb="11" eb="13">
      <t>ジカン</t>
    </rPh>
    <rPh sb="14" eb="15">
      <t>ナガ</t>
    </rPh>
    <rPh sb="25" eb="27">
      <t>イチド</t>
    </rPh>
    <phoneticPr fontId="1"/>
  </si>
  <si>
    <t>・大音声付きの攻撃との両立は無双の意志抜きでは困難</t>
    <rPh sb="1" eb="2">
      <t>ダイ</t>
    </rPh>
    <rPh sb="2" eb="4">
      <t>オンセイ</t>
    </rPh>
    <rPh sb="4" eb="5">
      <t>ツ</t>
    </rPh>
    <rPh sb="7" eb="9">
      <t>コウゲキ</t>
    </rPh>
    <rPh sb="11" eb="13">
      <t>リョウリツ</t>
    </rPh>
    <rPh sb="14" eb="16">
      <t>ムソウ</t>
    </rPh>
    <rPh sb="17" eb="19">
      <t>イシ</t>
    </rPh>
    <rPh sb="19" eb="20">
      <t>ヌ</t>
    </rPh>
    <rPh sb="23" eb="25">
      <t>コンナン</t>
    </rPh>
    <phoneticPr fontId="1"/>
  </si>
  <si>
    <t>①集中攻撃用</t>
    <rPh sb="1" eb="3">
      <t>シュウチュウ</t>
    </rPh>
    <rPh sb="3" eb="5">
      <t>コウゲキ</t>
    </rPh>
    <rPh sb="5" eb="6">
      <t>ヨウ</t>
    </rPh>
    <phoneticPr fontId="1"/>
  </si>
  <si>
    <t>　　敵から離れてしまったオテギヌをかなりの距離運べるので、アイアーが無理な時のフォローにもなる。</t>
    <rPh sb="2" eb="3">
      <t>テキ</t>
    </rPh>
    <rPh sb="5" eb="6">
      <t>ハナ</t>
    </rPh>
    <rPh sb="21" eb="23">
      <t>キョリ</t>
    </rPh>
    <rPh sb="23" eb="24">
      <t>ハコ</t>
    </rPh>
    <phoneticPr fontId="1"/>
  </si>
  <si>
    <t>②集中攻撃用</t>
    <rPh sb="1" eb="3">
      <t>シュウチュウ</t>
    </rPh>
    <rPh sb="3" eb="5">
      <t>コウゲキ</t>
    </rPh>
    <rPh sb="5" eb="6">
      <t>ヨウ</t>
    </rPh>
    <phoneticPr fontId="1"/>
  </si>
  <si>
    <t>④とどめの一撃</t>
    <rPh sb="5" eb="7">
      <t>イチゲキ</t>
    </rPh>
    <phoneticPr fontId="1"/>
  </si>
  <si>
    <t>CD：リビューク・アンデット</t>
    <phoneticPr fontId="1"/>
  </si>
  <si>
    <t>　　どうしてもリビューク・アンデットと比較したくなってしまうが、どちらも一長一短。</t>
    <rPh sb="19" eb="21">
      <t>ヒカク</t>
    </rPh>
    <rPh sb="36" eb="40">
      <t>イッチョウイッタン</t>
    </rPh>
    <phoneticPr fontId="1"/>
  </si>
  <si>
    <t>②不動重視</t>
    <rPh sb="1" eb="3">
      <t>フドウ</t>
    </rPh>
    <rPh sb="3" eb="5">
      <t>ジュウシ</t>
    </rPh>
    <phoneticPr fontId="1"/>
  </si>
  <si>
    <t>　　不死でなくても効果があるのは当然として、味方を巻き込んで撃てないのは使い勝手が結構悪い。</t>
    <rPh sb="2" eb="4">
      <t>フシ</t>
    </rPh>
    <rPh sb="9" eb="11">
      <t>コウカ</t>
    </rPh>
    <rPh sb="16" eb="18">
      <t>トウゼン</t>
    </rPh>
    <rPh sb="22" eb="24">
      <t>ミカタ</t>
    </rPh>
    <rPh sb="25" eb="26">
      <t>マ</t>
    </rPh>
    <rPh sb="27" eb="28">
      <t>コ</t>
    </rPh>
    <rPh sb="30" eb="31">
      <t>ウ</t>
    </rPh>
    <rPh sb="36" eb="37">
      <t>ツカ</t>
    </rPh>
    <rPh sb="38" eb="40">
      <t>カッテ</t>
    </rPh>
    <rPh sb="41" eb="43">
      <t>ケッコウ</t>
    </rPh>
    <rPh sb="43" eb="44">
      <t>ワル</t>
    </rPh>
    <phoneticPr fontId="1"/>
  </si>
  <si>
    <t>　　近接攻撃しか持っていない敵は高確率で１ターン休みに出来るので、うまく使えば効果的。</t>
    <rPh sb="2" eb="4">
      <t>キンセツ</t>
    </rPh>
    <rPh sb="4" eb="6">
      <t>コウゲキ</t>
    </rPh>
    <rPh sb="8" eb="9">
      <t>モ</t>
    </rPh>
    <rPh sb="14" eb="15">
      <t>テキ</t>
    </rPh>
    <rPh sb="16" eb="19">
      <t>コウカクリツ</t>
    </rPh>
    <rPh sb="24" eb="25">
      <t>ヤス</t>
    </rPh>
    <rPh sb="27" eb="29">
      <t>デキ</t>
    </rPh>
    <rPh sb="36" eb="37">
      <t>ツカ</t>
    </rPh>
    <rPh sb="39" eb="42">
      <t>コウカテキ</t>
    </rPh>
    <phoneticPr fontId="1"/>
  </si>
  <si>
    <t>　　ヒット時にはこのパワー単体で、伏せ幻惑並みの時間稼ぎが期待出来る。</t>
    <rPh sb="13" eb="15">
      <t>タンタイ</t>
    </rPh>
    <rPh sb="17" eb="18">
      <t>フ</t>
    </rPh>
    <rPh sb="19" eb="21">
      <t>ゲンワク</t>
    </rPh>
    <rPh sb="21" eb="22">
      <t>ナ</t>
    </rPh>
    <rPh sb="24" eb="26">
      <t>ジカン</t>
    </rPh>
    <rPh sb="26" eb="27">
      <t>カセ</t>
    </rPh>
    <rPh sb="29" eb="33">
      <t>キタイデキ</t>
    </rPh>
    <phoneticPr fontId="1"/>
  </si>
  <si>
    <t>　　瞬間移動以外移動不可能なので、敵が間合いも遠隔も持っていないと１ターン休み。</t>
    <rPh sb="2" eb="6">
      <t>シュンカン</t>
    </rPh>
    <rPh sb="6" eb="8">
      <t>イガイ</t>
    </rPh>
    <rPh sb="8" eb="10">
      <t>イドウ</t>
    </rPh>
    <rPh sb="10" eb="13">
      <t>フカノウ</t>
    </rPh>
    <rPh sb="17" eb="18">
      <t>テキ</t>
    </rPh>
    <rPh sb="19" eb="21">
      <t>マア</t>
    </rPh>
    <rPh sb="23" eb="25">
      <t>エンカク</t>
    </rPh>
    <rPh sb="26" eb="27">
      <t>モ</t>
    </rPh>
    <rPh sb="37" eb="38">
      <t>ヤス</t>
    </rPh>
    <phoneticPr fontId="1"/>
  </si>
  <si>
    <t>③伏せかつ敵を前衛の２マス以上先まで離す</t>
    <rPh sb="1" eb="2">
      <t>フ</t>
    </rPh>
    <rPh sb="5" eb="6">
      <t>テキ</t>
    </rPh>
    <rPh sb="7" eb="9">
      <t>ゼンエイ</t>
    </rPh>
    <rPh sb="13" eb="15">
      <t>イジョウ</t>
    </rPh>
    <rPh sb="15" eb="16">
      <t>サキ</t>
    </rPh>
    <rPh sb="18" eb="19">
      <t>ハナ</t>
    </rPh>
    <phoneticPr fontId="1"/>
  </si>
  <si>
    <t>②不動幻惑状態の敵を前衛の２マス以上先まで離す</t>
    <rPh sb="8" eb="9">
      <t>テキ</t>
    </rPh>
    <rPh sb="10" eb="12">
      <t>ゼンエイ</t>
    </rPh>
    <rPh sb="16" eb="18">
      <t>イジョウ</t>
    </rPh>
    <rPh sb="18" eb="19">
      <t>サキ</t>
    </rPh>
    <rPh sb="21" eb="22">
      <t>ハナ</t>
    </rPh>
    <phoneticPr fontId="1"/>
  </si>
  <si>
    <t>使用者は目標を範囲内の別の接敵面もしくは範囲に隣接する接敵面に瞬間移動させる。</t>
    <rPh sb="0" eb="2">
      <t>シヨウ</t>
    </rPh>
    <rPh sb="2" eb="3">
      <t>シャ</t>
    </rPh>
    <rPh sb="4" eb="6">
      <t>モクヒョウ</t>
    </rPh>
    <rPh sb="7" eb="10">
      <t>ハンイナイ</t>
    </rPh>
    <rPh sb="11" eb="12">
      <t>ベツ</t>
    </rPh>
    <rPh sb="13" eb="15">
      <t>セッテキ</t>
    </rPh>
    <rPh sb="15" eb="16">
      <t>メン</t>
    </rPh>
    <rPh sb="20" eb="22">
      <t>ハンイ</t>
    </rPh>
    <rPh sb="23" eb="25">
      <t>リンセツ</t>
    </rPh>
    <rPh sb="27" eb="29">
      <t>セッテキ</t>
    </rPh>
    <rPh sb="29" eb="30">
      <t>メン</t>
    </rPh>
    <rPh sb="31" eb="33">
      <t>シュンカン</t>
    </rPh>
    <rPh sb="33" eb="35">
      <t>イドウ</t>
    </rPh>
    <phoneticPr fontId="1"/>
  </si>
  <si>
    <t>②幻惑状態の敵を前衛の２マス先まで離す</t>
    <rPh sb="6" eb="7">
      <t>テキ</t>
    </rPh>
    <rPh sb="8" eb="10">
      <t>ゼンエイ</t>
    </rPh>
    <rPh sb="14" eb="15">
      <t>サキ</t>
    </rPh>
    <rPh sb="17" eb="18">
      <t>ハナ</t>
    </rPh>
    <phoneticPr fontId="1"/>
  </si>
  <si>
    <t>検証！　不動幻惑にした上で更に伏せまで必要なのか？</t>
    <rPh sb="0" eb="2">
      <t>ケンショウ</t>
    </rPh>
    <rPh sb="4" eb="6">
      <t>フドウ</t>
    </rPh>
    <rPh sb="6" eb="8">
      <t>ゲンワク</t>
    </rPh>
    <rPh sb="11" eb="12">
      <t>ウエ</t>
    </rPh>
    <rPh sb="13" eb="14">
      <t>サラ</t>
    </rPh>
    <rPh sb="15" eb="16">
      <t>フ</t>
    </rPh>
    <rPh sb="19" eb="21">
      <t>ヒツヨウ</t>
    </rPh>
    <phoneticPr fontId="1"/>
  </si>
  <si>
    <t>　　１ターン休みになっても起き上がれるので、時間稼ぎで伏せさせる意味が全く無かった・・・。</t>
    <rPh sb="6" eb="7">
      <t>ヤス</t>
    </rPh>
    <rPh sb="13" eb="14">
      <t>オ</t>
    </rPh>
    <rPh sb="15" eb="16">
      <t>ア</t>
    </rPh>
    <rPh sb="22" eb="24">
      <t>ジカン</t>
    </rPh>
    <rPh sb="24" eb="25">
      <t>カセ</t>
    </rPh>
    <rPh sb="27" eb="28">
      <t>フ</t>
    </rPh>
    <rPh sb="32" eb="34">
      <t>イミ</t>
    </rPh>
    <rPh sb="35" eb="36">
      <t>マッタ</t>
    </rPh>
    <rPh sb="37" eb="38">
      <t>ナ</t>
    </rPh>
    <phoneticPr fontId="1"/>
  </si>
  <si>
    <r>
      <t>・装具の強化ボーナスを全く足せない　（</t>
    </r>
    <r>
      <rPr>
        <b/>
        <sz val="11"/>
        <color rgb="FFFF0000"/>
        <rFont val="ＭＳ Ｐゴシック"/>
        <family val="3"/>
        <charset val="128"/>
        <scheme val="minor"/>
      </rPr>
      <t>クリティカルがショボい</t>
    </r>
    <r>
      <rPr>
        <sz val="11"/>
        <color theme="1"/>
        <rFont val="ＭＳ Ｐゴシック"/>
        <family val="3"/>
        <charset val="128"/>
        <scheme val="minor"/>
      </rPr>
      <t>）</t>
    </r>
    <rPh sb="1" eb="3">
      <t>ソウグ</t>
    </rPh>
    <rPh sb="4" eb="6">
      <t>キョウカ</t>
    </rPh>
    <rPh sb="11" eb="12">
      <t>マッタ</t>
    </rPh>
    <rPh sb="13" eb="14">
      <t>タ</t>
    </rPh>
    <phoneticPr fontId="1"/>
  </si>
  <si>
    <r>
      <rPr>
        <b/>
        <sz val="11"/>
        <color rgb="FFFF0000"/>
        <rFont val="ＭＳ Ｐゴシック"/>
        <family val="3"/>
        <charset val="128"/>
        <scheme val="minor"/>
      </rPr>
      <t>大音声が手数を増やす戦略と全く合致していない</t>
    </r>
    <r>
      <rPr>
        <sz val="11"/>
        <color theme="1"/>
        <rFont val="ＭＳ Ｐゴシック"/>
        <family val="3"/>
        <charset val="128"/>
        <scheme val="minor"/>
      </rPr>
      <t>以上、色々と中途半端な気がする。</t>
    </r>
    <rPh sb="0" eb="3">
      <t>ダイオンセイ</t>
    </rPh>
    <rPh sb="4" eb="6">
      <t>テカズ</t>
    </rPh>
    <rPh sb="7" eb="8">
      <t>フ</t>
    </rPh>
    <rPh sb="10" eb="12">
      <t>センリャク</t>
    </rPh>
    <rPh sb="13" eb="14">
      <t>マッタ</t>
    </rPh>
    <rPh sb="15" eb="17">
      <t>ガッチ</t>
    </rPh>
    <rPh sb="22" eb="24">
      <t>イジョウ</t>
    </rPh>
    <rPh sb="25" eb="27">
      <t>イロイロ</t>
    </rPh>
    <rPh sb="28" eb="30">
      <t>チュウト</t>
    </rPh>
    <rPh sb="30" eb="32">
      <t>ハンパ</t>
    </rPh>
    <rPh sb="33" eb="34">
      <t>キ</t>
    </rPh>
    <phoneticPr fontId="1"/>
  </si>
  <si>
    <r>
      <t>無双の意志によるセーヴの成否を問わず、</t>
    </r>
    <r>
      <rPr>
        <b/>
        <sz val="11"/>
        <color rgb="FFFF0000"/>
        <rFont val="ＭＳ Ｐゴシック"/>
        <family val="3"/>
        <charset val="128"/>
        <scheme val="minor"/>
      </rPr>
      <t>機会攻撃が完全に不可能</t>
    </r>
    <r>
      <rPr>
        <sz val="11"/>
        <color theme="1"/>
        <rFont val="ＭＳ Ｐゴシック"/>
        <family val="3"/>
        <charset val="128"/>
        <scheme val="minor"/>
      </rPr>
      <t>になるのが相当痛いが、</t>
    </r>
    <rPh sb="0" eb="2">
      <t>ムソウ</t>
    </rPh>
    <rPh sb="3" eb="5">
      <t>イシ</t>
    </rPh>
    <rPh sb="12" eb="14">
      <t>セイヒ</t>
    </rPh>
    <rPh sb="15" eb="16">
      <t>ト</t>
    </rPh>
    <rPh sb="19" eb="21">
      <t>キカイ</t>
    </rPh>
    <rPh sb="21" eb="23">
      <t>コウゲキ</t>
    </rPh>
    <rPh sb="24" eb="26">
      <t>カンゼン</t>
    </rPh>
    <rPh sb="27" eb="30">
      <t>フカノウ</t>
    </rPh>
    <rPh sb="35" eb="37">
      <t>ソウトウ</t>
    </rPh>
    <rPh sb="37" eb="38">
      <t>イタ</t>
    </rPh>
    <phoneticPr fontId="1"/>
  </si>
  <si>
    <t>エッセンシャル仕様だと元々無いので、影響が小さいという言い方も可能。</t>
    <rPh sb="11" eb="13">
      <t>モトモト</t>
    </rPh>
    <rPh sb="13" eb="14">
      <t>ナ</t>
    </rPh>
    <rPh sb="18" eb="20">
      <t>エイキョウ</t>
    </rPh>
    <rPh sb="21" eb="22">
      <t>チイ</t>
    </rPh>
    <rPh sb="27" eb="28">
      <t>イ</t>
    </rPh>
    <rPh sb="29" eb="30">
      <t>カタ</t>
    </rPh>
    <rPh sb="31" eb="33">
      <t>カノウ</t>
    </rPh>
    <phoneticPr fontId="1"/>
  </si>
  <si>
    <t>※《誓約発現》(Dr378:66)</t>
    <rPh sb="2" eb="4">
      <t>セイヤク</t>
    </rPh>
    <rPh sb="4" eb="6">
      <t>ハツゲン</t>
    </rPh>
    <phoneticPr fontId="1"/>
  </si>
  <si>
    <r>
      <t>　　君は誓約発現を使用して、</t>
    </r>
    <r>
      <rPr>
        <b/>
        <sz val="11"/>
        <color rgb="FFFF0000"/>
        <rFont val="ＭＳ Ｐゴシック"/>
        <family val="3"/>
        <charset val="128"/>
        <scheme val="minor"/>
      </rPr>
      <t>味方を２人まで横滑り</t>
    </r>
    <r>
      <rPr>
        <sz val="11"/>
        <color theme="1"/>
        <rFont val="ＭＳ Ｐゴシック"/>
        <family val="3"/>
        <charset val="128"/>
        <scheme val="minor"/>
      </rPr>
      <t>させる事ができる。</t>
    </r>
    <rPh sb="2" eb="3">
      <t>キミ</t>
    </rPh>
    <rPh sb="4" eb="6">
      <t>セイヤク</t>
    </rPh>
    <rPh sb="6" eb="8">
      <t>ハツゲン</t>
    </rPh>
    <rPh sb="9" eb="11">
      <t>シヨウ</t>
    </rPh>
    <rPh sb="14" eb="16">
      <t>ミカタ</t>
    </rPh>
    <rPh sb="18" eb="19">
      <t>リ</t>
    </rPh>
    <rPh sb="21" eb="23">
      <t>ヨコスベ</t>
    </rPh>
    <rPh sb="27" eb="28">
      <t>コト</t>
    </rPh>
    <phoneticPr fontId="1"/>
  </si>
  <si>
    <t>様々な強制移動パワーを持ってはいるものの、総合的に考えれば最も信頼できる効果はコレ！</t>
    <rPh sb="0" eb="2">
      <t>サマザマ</t>
    </rPh>
    <rPh sb="3" eb="5">
      <t>キョウセイ</t>
    </rPh>
    <rPh sb="5" eb="7">
      <t>イドウ</t>
    </rPh>
    <rPh sb="11" eb="12">
      <t>モ</t>
    </rPh>
    <phoneticPr fontId="1"/>
  </si>
  <si>
    <t>　　無双の反応でブち込みたい筆頭格だが、いきなりかつ安全にスミスが前線に出るのは難しそう。</t>
    <rPh sb="2" eb="4">
      <t>ムソウ</t>
    </rPh>
    <rPh sb="5" eb="7">
      <t>ハンノウ</t>
    </rPh>
    <rPh sb="10" eb="11">
      <t>コ</t>
    </rPh>
    <rPh sb="14" eb="16">
      <t>ヒットウ</t>
    </rPh>
    <rPh sb="16" eb="17">
      <t>カク</t>
    </rPh>
    <rPh sb="33" eb="35">
      <t>ゼンセン</t>
    </rPh>
    <rPh sb="36" eb="37">
      <t>デ</t>
    </rPh>
    <rPh sb="40" eb="41">
      <t>ムズカ</t>
    </rPh>
    <phoneticPr fontId="1"/>
  </si>
  <si>
    <t>前衛の被挟撃リスクを軽減しつつ敵の急所攻撃をも対策可能で、味方のフォローとして超優秀。</t>
    <rPh sb="0" eb="2">
      <t>ゼンエイ</t>
    </rPh>
    <rPh sb="3" eb="4">
      <t>ヒ</t>
    </rPh>
    <rPh sb="4" eb="6">
      <t>キョウゲキ</t>
    </rPh>
    <rPh sb="10" eb="12">
      <t>ケイゲン</t>
    </rPh>
    <rPh sb="15" eb="16">
      <t>テキ</t>
    </rPh>
    <rPh sb="17" eb="19">
      <t>キュウショ</t>
    </rPh>
    <rPh sb="19" eb="21">
      <t>コウゲキ</t>
    </rPh>
    <rPh sb="23" eb="25">
      <t>タイサク</t>
    </rPh>
    <rPh sb="25" eb="27">
      <t>カノウ</t>
    </rPh>
    <rPh sb="29" eb="31">
      <t>ミカタ</t>
    </rPh>
    <rPh sb="39" eb="40">
      <t>チョウ</t>
    </rPh>
    <rPh sb="40" eb="42">
      <t>ユウシュウ</t>
    </rPh>
    <phoneticPr fontId="1"/>
  </si>
  <si>
    <t>前線へ近寄るプレイが求められているが、あまり無理せずとも実践可能なのが素晴らしい。</t>
    <rPh sb="22" eb="24">
      <t>ムリ</t>
    </rPh>
    <rPh sb="28" eb="30">
      <t>ジッセン</t>
    </rPh>
    <rPh sb="30" eb="32">
      <t>カノウ</t>
    </rPh>
    <rPh sb="35" eb="37">
      <t>スバ</t>
    </rPh>
    <phoneticPr fontId="1"/>
  </si>
  <si>
    <t>※ヴィシャス・スタッフ(PHB231)＆ウォー・リング(宝156)</t>
    <phoneticPr fontId="1"/>
  </si>
  <si>
    <r>
      <t>　　特性：クリティカルダイスが</t>
    </r>
    <r>
      <rPr>
        <b/>
        <sz val="11"/>
        <color rgb="FFFF0000"/>
        <rFont val="ＭＳ Ｐゴシック"/>
        <family val="3"/>
        <charset val="128"/>
        <scheme val="minor"/>
      </rPr>
      <t>d12</t>
    </r>
    <r>
      <rPr>
        <sz val="11"/>
        <rFont val="ＭＳ Ｐゴシック"/>
        <family val="3"/>
        <charset val="128"/>
        <scheme val="minor"/>
      </rPr>
      <t>で更に通常よりも１つ多く追加。</t>
    </r>
    <rPh sb="2" eb="4">
      <t>トクセイ</t>
    </rPh>
    <rPh sb="19" eb="20">
      <t>サラ</t>
    </rPh>
    <rPh sb="21" eb="23">
      <t>ツウジョウ</t>
    </rPh>
    <rPh sb="28" eb="29">
      <t>オオ</t>
    </rPh>
    <rPh sb="30" eb="32">
      <t>ツイカ</t>
    </rPh>
    <phoneticPr fontId="1"/>
  </si>
  <si>
    <r>
      <t>　　【一日毎】：フリー・アクション。　クリティカルダイスを</t>
    </r>
    <r>
      <rPr>
        <sz val="11"/>
        <rFont val="ＭＳ Ｐゴシック"/>
        <family val="3"/>
        <charset val="128"/>
        <scheme val="minor"/>
      </rPr>
      <t>更に２つ多く追加。</t>
    </r>
    <rPh sb="3" eb="5">
      <t>イチニチ</t>
    </rPh>
    <rPh sb="5" eb="6">
      <t>マイ</t>
    </rPh>
    <rPh sb="29" eb="30">
      <t>サラ</t>
    </rPh>
    <rPh sb="33" eb="34">
      <t>オオ</t>
    </rPh>
    <rPh sb="35" eb="37">
      <t>ツイカ</t>
    </rPh>
    <phoneticPr fontId="1"/>
  </si>
  <si>
    <r>
      <t>　　　　　　　　　マイルストーンに達していた場合、ロール不要で</t>
    </r>
    <r>
      <rPr>
        <b/>
        <sz val="11"/>
        <color rgb="FFFF0000"/>
        <rFont val="ＭＳ Ｐゴシック"/>
        <family val="3"/>
        <charset val="128"/>
        <scheme val="minor"/>
      </rPr>
      <t>最大ダメージ</t>
    </r>
    <r>
      <rPr>
        <sz val="11"/>
        <color theme="1"/>
        <rFont val="ＭＳ Ｐゴシック"/>
        <family val="3"/>
        <charset val="128"/>
        <scheme val="minor"/>
      </rPr>
      <t>。</t>
    </r>
    <rPh sb="17" eb="18">
      <t>タッ</t>
    </rPh>
    <rPh sb="22" eb="24">
      <t>バアイ</t>
    </rPh>
    <rPh sb="28" eb="30">
      <t>フヨウ</t>
    </rPh>
    <rPh sb="31" eb="33">
      <t>サイダイ</t>
    </rPh>
    <phoneticPr fontId="1"/>
  </si>
  <si>
    <r>
      <t>　　君が</t>
    </r>
    <r>
      <rPr>
        <b/>
        <sz val="11"/>
        <color rgb="FFFF0000"/>
        <rFont val="ＭＳ Ｐゴシック"/>
        <family val="3"/>
        <charset val="128"/>
        <scheme val="minor"/>
      </rPr>
      <t>幻惑状態</t>
    </r>
    <r>
      <rPr>
        <sz val="11"/>
        <color theme="1"/>
        <rFont val="ＭＳ Ｐゴシック"/>
        <family val="3"/>
        <charset val="128"/>
        <scheme val="minor"/>
      </rPr>
      <t>または朦朧状態であるなら、</t>
    </r>
    <r>
      <rPr>
        <b/>
        <sz val="11"/>
        <color rgb="FFFF0000"/>
        <rFont val="ＭＳ Ｐゴシック"/>
        <family val="3"/>
        <charset val="128"/>
        <scheme val="minor"/>
      </rPr>
      <t>自分のＴの開始時</t>
    </r>
    <r>
      <rPr>
        <sz val="11"/>
        <color theme="1"/>
        <rFont val="ＭＳ Ｐゴシック"/>
        <family val="3"/>
        <charset val="128"/>
        <scheme val="minor"/>
      </rPr>
      <t>に、終了させるために</t>
    </r>
    <r>
      <rPr>
        <b/>
        <sz val="11"/>
        <color rgb="FFFF0000"/>
        <rFont val="ＭＳ Ｐゴシック"/>
        <family val="3"/>
        <charset val="128"/>
        <scheme val="minor"/>
      </rPr>
      <t>ＳＴ</t>
    </r>
    <r>
      <rPr>
        <sz val="11"/>
        <color theme="1"/>
        <rFont val="ＭＳ Ｐゴシック"/>
        <family val="3"/>
        <charset val="128"/>
        <scheme val="minor"/>
      </rPr>
      <t>を行える。</t>
    </r>
    <rPh sb="2" eb="3">
      <t>キミ</t>
    </rPh>
    <rPh sb="4" eb="6">
      <t>ゲンワク</t>
    </rPh>
    <rPh sb="6" eb="8">
      <t>ジョウタイ</t>
    </rPh>
    <rPh sb="11" eb="13">
      <t>モウロウ</t>
    </rPh>
    <rPh sb="13" eb="15">
      <t>ジョウタイ</t>
    </rPh>
    <rPh sb="21" eb="23">
      <t>ジブン</t>
    </rPh>
    <rPh sb="26" eb="28">
      <t>カイシ</t>
    </rPh>
    <rPh sb="28" eb="29">
      <t>ジ</t>
    </rPh>
    <phoneticPr fontId="1"/>
  </si>
  <si>
    <t>攻撃ロールへのボーナスは範囲攻撃以外にも付くので、総合的にＡＰの使い勝手かなり良し。</t>
    <rPh sb="0" eb="2">
      <t>コウゲキ</t>
    </rPh>
    <rPh sb="12" eb="14">
      <t>ハンイ</t>
    </rPh>
    <rPh sb="14" eb="16">
      <t>コウゲキ</t>
    </rPh>
    <rPh sb="16" eb="18">
      <t>イガイ</t>
    </rPh>
    <rPh sb="20" eb="21">
      <t>ツ</t>
    </rPh>
    <rPh sb="25" eb="28">
      <t>ソウゴウテキ</t>
    </rPh>
    <rPh sb="32" eb="33">
      <t>ツカ</t>
    </rPh>
    <rPh sb="34" eb="36">
      <t>カッテ</t>
    </rPh>
    <rPh sb="39" eb="40">
      <t>ヨ</t>
    </rPh>
    <phoneticPr fontId="1"/>
  </si>
  <si>
    <r>
      <t>確定で長時間幻惑し続けるので、</t>
    </r>
    <r>
      <rPr>
        <b/>
        <sz val="11"/>
        <color rgb="FFFF0000"/>
        <rFont val="ＭＳ Ｐゴシック"/>
        <family val="3"/>
        <charset val="128"/>
        <scheme val="minor"/>
      </rPr>
      <t>機会＆即応完全封印</t>
    </r>
    <r>
      <rPr>
        <sz val="11"/>
        <color theme="1"/>
        <rFont val="ＭＳ Ｐゴシック"/>
        <family val="2"/>
        <charset val="128"/>
        <scheme val="minor"/>
      </rPr>
      <t>。　理論上最大ダメージ特化で本当に大丈夫？</t>
    </r>
    <rPh sb="0" eb="2">
      <t>カクテイ</t>
    </rPh>
    <rPh sb="3" eb="6">
      <t>チョウジカン</t>
    </rPh>
    <rPh sb="6" eb="8">
      <t>ゲンワク</t>
    </rPh>
    <rPh sb="9" eb="10">
      <t>ツヅ</t>
    </rPh>
    <rPh sb="15" eb="17">
      <t>キカイ</t>
    </rPh>
    <rPh sb="18" eb="20">
      <t>ソクオウ</t>
    </rPh>
    <rPh sb="20" eb="22">
      <t>カンゼン</t>
    </rPh>
    <rPh sb="22" eb="24">
      <t>フウイン</t>
    </rPh>
    <rPh sb="26" eb="28">
      <t>リロン</t>
    </rPh>
    <rPh sb="28" eb="29">
      <t>ジョウ</t>
    </rPh>
    <rPh sb="29" eb="31">
      <t>サイダイ</t>
    </rPh>
    <rPh sb="35" eb="37">
      <t>トッカ</t>
    </rPh>
    <rPh sb="38" eb="40">
      <t>ホントウ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</si>
</sst>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62">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b/>
      <sz val="10"/>
      <name val="ＭＳ Ｐゴシック"/>
      <family val="3"/>
      <charset val="128"/>
      <scheme val="minor"/>
    </font>
    <font>
      <b/>
      <sz val="11"/>
      <name val="ＭＳ Ｐゴシック"/>
      <family val="3"/>
      <charset val="128"/>
      <scheme val="minor"/>
    </font>
    <font>
      <b/>
      <sz val="11"/>
      <color theme="0"/>
      <name val="ＭＳ Ｐゴシック"/>
      <family val="3"/>
      <charset val="128"/>
      <scheme val="minor"/>
    </font>
    <font>
      <sz val="14"/>
      <color theme="0"/>
      <name val="ＭＳ Ｐゴシック"/>
      <family val="2"/>
      <charset val="128"/>
      <scheme val="minor"/>
    </font>
    <font>
      <b/>
      <sz val="18"/>
      <color theme="0"/>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b/>
      <sz val="14"/>
      <color rgb="FFFF0000"/>
      <name val="ＭＳ Ｐゴシック"/>
      <family val="3"/>
      <charset val="128"/>
      <scheme val="minor"/>
    </font>
    <font>
      <b/>
      <sz val="8"/>
      <color theme="1"/>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b/>
      <sz val="11"/>
      <name val="ＭＳ Ｐゴシック"/>
      <family val="2"/>
      <charset val="128"/>
      <scheme val="minor"/>
    </font>
    <font>
      <sz val="11"/>
      <name val="ＭＳ Ｐゴシック"/>
      <family val="3"/>
      <charset val="128"/>
      <scheme val="minor"/>
    </font>
    <font>
      <b/>
      <sz val="11"/>
      <color rgb="FFFF0000"/>
      <name val="ＭＳ Ｐゴシック"/>
      <family val="3"/>
      <charset val="128"/>
      <scheme val="minor"/>
    </font>
    <font>
      <sz val="14"/>
      <name val="ＭＳ Ｐゴシック"/>
      <family val="3"/>
      <charset val="128"/>
      <scheme val="minor"/>
    </font>
    <font>
      <b/>
      <sz val="9"/>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scheme val="minor"/>
    </font>
    <font>
      <sz val="12"/>
      <name val="ＭＳ Ｐゴシック"/>
      <family val="3"/>
      <charset val="128"/>
      <scheme val="minor"/>
    </font>
    <font>
      <b/>
      <sz val="14"/>
      <color theme="0"/>
      <name val="ＭＳ Ｐゴシック"/>
      <family val="3"/>
      <charset val="128"/>
      <scheme val="minor"/>
    </font>
    <font>
      <b/>
      <sz val="10"/>
      <color theme="1"/>
      <name val="ＭＳ Ｐゴシック"/>
      <family val="3"/>
      <charset val="128"/>
      <scheme val="minor"/>
    </font>
    <font>
      <b/>
      <sz val="11"/>
      <color theme="4" tint="-0.249977111117893"/>
      <name val="ＭＳ Ｐゴシック"/>
      <family val="3"/>
      <charset val="128"/>
      <scheme val="minor"/>
    </font>
    <font>
      <sz val="6"/>
      <name val="ＭＳ Ｐゴシック"/>
      <family val="3"/>
      <charset val="128"/>
    </font>
    <font>
      <sz val="14"/>
      <color theme="1"/>
      <name val="ＭＳ Ｐゴシック"/>
      <family val="3"/>
      <charset val="128"/>
      <scheme val="minor"/>
    </font>
    <font>
      <sz val="20"/>
      <color theme="1"/>
      <name val="ＭＳ Ｐゴシック"/>
      <family val="3"/>
      <charset val="128"/>
      <scheme val="minor"/>
    </font>
    <font>
      <b/>
      <sz val="16"/>
      <color rgb="FFFF0000"/>
      <name val="ＭＳ Ｐゴシック"/>
      <family val="3"/>
      <charset val="128"/>
      <scheme val="minor"/>
    </font>
    <font>
      <b/>
      <sz val="9"/>
      <color indexed="81"/>
      <name val="ＭＳ Ｐゴシック"/>
      <family val="3"/>
      <charset val="128"/>
    </font>
    <font>
      <sz val="9"/>
      <color indexed="81"/>
      <name val="ＭＳ Ｐゴシック"/>
      <family val="3"/>
      <charset val="128"/>
    </font>
    <font>
      <b/>
      <sz val="18"/>
      <color rgb="FFFF0000"/>
      <name val="ＭＳ Ｐゴシック"/>
      <family val="3"/>
      <charset val="128"/>
      <scheme val="minor"/>
    </font>
    <font>
      <b/>
      <sz val="9"/>
      <color theme="0"/>
      <name val="ＭＳ Ｐゴシック"/>
      <family val="3"/>
      <charset val="128"/>
      <scheme val="minor"/>
    </font>
    <font>
      <b/>
      <sz val="12"/>
      <color theme="0"/>
      <name val="ＭＳ Ｐゴシック"/>
      <family val="3"/>
      <charset val="128"/>
      <scheme val="minor"/>
    </font>
    <font>
      <b/>
      <sz val="16"/>
      <color theme="0"/>
      <name val="ＭＳ Ｐゴシック"/>
      <family val="3"/>
      <charset val="128"/>
      <scheme val="minor"/>
    </font>
    <font>
      <b/>
      <sz val="12"/>
      <name val="ＭＳ Ｐゴシック"/>
      <family val="3"/>
      <charset val="128"/>
      <scheme val="minor"/>
    </font>
    <font>
      <b/>
      <sz val="9"/>
      <color rgb="FFFF0000"/>
      <name val="ＭＳ Ｐゴシック"/>
      <family val="3"/>
      <charset val="128"/>
      <scheme val="minor"/>
    </font>
    <font>
      <b/>
      <sz val="10"/>
      <color rgb="FFFF000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b/>
      <sz val="16"/>
      <name val="ＭＳ Ｐゴシック"/>
      <family val="3"/>
      <charset val="128"/>
      <scheme val="minor"/>
    </font>
    <font>
      <b/>
      <sz val="16"/>
      <color theme="0"/>
      <name val="HGP創英角ｺﾞｼｯｸUB"/>
      <family val="3"/>
      <charset val="128"/>
    </font>
    <font>
      <sz val="18"/>
      <color theme="1"/>
      <name val="ＭＳ Ｐゴシック"/>
      <family val="3"/>
      <charset val="128"/>
      <scheme val="minor"/>
    </font>
    <font>
      <b/>
      <sz val="20"/>
      <name val="ＭＳ Ｐゴシック"/>
      <family val="3"/>
      <charset val="128"/>
      <scheme val="minor"/>
    </font>
    <font>
      <sz val="1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14"/>
      <color theme="0"/>
      <name val="ＭＳ Ｐゴシック"/>
      <family val="3"/>
      <charset val="128"/>
      <scheme val="minor"/>
    </font>
    <font>
      <sz val="16"/>
      <color theme="1"/>
      <name val="ＭＳ Ｐゴシック"/>
      <family val="2"/>
      <charset val="128"/>
      <scheme val="minor"/>
    </font>
    <font>
      <b/>
      <sz val="20"/>
      <color rgb="FFFF0000"/>
      <name val="ＭＳ Ｐゴシック"/>
      <family val="3"/>
      <charset val="128"/>
      <scheme val="minor"/>
    </font>
    <font>
      <sz val="18"/>
      <color rgb="FFFF0000"/>
      <name val="ＭＳ Ｐゴシック"/>
      <family val="2"/>
      <charset val="128"/>
      <scheme val="minor"/>
    </font>
    <font>
      <sz val="9"/>
      <color theme="1"/>
      <name val="ＭＳ Ｐゴシック"/>
      <family val="3"/>
      <charset val="128"/>
      <scheme val="minor"/>
    </font>
    <font>
      <sz val="18"/>
      <color theme="0"/>
      <name val="ＭＳ Ｐゴシック"/>
      <family val="2"/>
      <charset val="128"/>
      <scheme val="minor"/>
    </font>
    <font>
      <sz val="16"/>
      <color theme="0"/>
      <name val="ＭＳ Ｐゴシック"/>
      <family val="3"/>
      <charset val="128"/>
      <scheme val="minor"/>
    </font>
    <font>
      <b/>
      <sz val="20"/>
      <color theme="0"/>
      <name val="ＭＳ Ｐゴシック"/>
      <family val="3"/>
      <charset val="128"/>
      <scheme val="minor"/>
    </font>
    <font>
      <b/>
      <sz val="16"/>
      <color rgb="FFFF0000"/>
      <name val="HGPｺﾞｼｯｸE"/>
      <family val="3"/>
      <charset val="128"/>
    </font>
    <font>
      <sz val="11"/>
      <color theme="0"/>
      <name val="ＭＳ Ｐゴシック"/>
      <family val="2"/>
      <charset val="128"/>
      <scheme val="minor"/>
    </font>
    <font>
      <b/>
      <sz val="11"/>
      <color indexed="10"/>
      <name val="ＭＳ Ｐゴシック"/>
      <family val="3"/>
      <charset val="128"/>
    </font>
    <font>
      <sz val="8"/>
      <color theme="1"/>
      <name val="ＭＳ Ｐゴシック"/>
      <family val="2"/>
      <charset val="128"/>
      <scheme val="minor"/>
    </font>
  </fonts>
  <fills count="27">
    <fill>
      <patternFill patternType="none"/>
    </fill>
    <fill>
      <patternFill patternType="gray125"/>
    </fill>
    <fill>
      <patternFill patternType="solid">
        <fgColor theme="5" tint="-0.249977111117893"/>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rgb="FFFFFF00"/>
        <bgColor indexed="64"/>
      </patternFill>
    </fill>
    <fill>
      <patternFill patternType="solid">
        <fgColor rgb="FF008000"/>
        <bgColor indexed="64"/>
      </patternFill>
    </fill>
    <fill>
      <patternFill patternType="solid">
        <fgColor theme="9" tint="0.59996337778862885"/>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A61D0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1" tint="0.34998626667073579"/>
        <bgColor indexed="64"/>
      </patternFill>
    </fill>
    <fill>
      <patternFill patternType="solid">
        <fgColor theme="4" tint="-0.249977111117893"/>
        <bgColor indexed="64"/>
      </patternFill>
    </fill>
    <fill>
      <patternFill patternType="solid">
        <fgColor rgb="FFFF0000"/>
        <bgColor indexed="64"/>
      </patternFill>
    </fill>
    <fill>
      <patternFill patternType="solid">
        <fgColor theme="8" tint="0.79998168889431442"/>
        <bgColor indexed="64"/>
      </patternFill>
    </fill>
    <fill>
      <patternFill patternType="solid">
        <fgColor rgb="FF0070C0"/>
        <bgColor indexed="64"/>
      </patternFill>
    </fill>
    <fill>
      <patternFill patternType="solid">
        <fgColor theme="9" tint="0.39997558519241921"/>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3" tint="-0.249977111117893"/>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hair">
        <color indexed="64"/>
      </left>
      <right/>
      <top style="thin">
        <color indexed="64"/>
      </top>
      <bottom style="medium">
        <color indexed="64"/>
      </bottom>
      <diagonal/>
    </border>
    <border>
      <left style="hair">
        <color indexed="64"/>
      </left>
      <right/>
      <top style="thin">
        <color indexed="64"/>
      </top>
      <bottom style="hair">
        <color indexed="64"/>
      </bottom>
      <diagonal/>
    </border>
    <border>
      <left style="medium">
        <color indexed="64"/>
      </left>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hair">
        <color indexed="64"/>
      </bottom>
      <diagonal/>
    </border>
    <border>
      <left style="hair">
        <color indexed="64"/>
      </left>
      <right/>
      <top/>
      <bottom style="hair">
        <color indexed="64"/>
      </bottom>
      <diagonal/>
    </border>
    <border>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style="hair">
        <color indexed="64"/>
      </left>
      <right style="thin">
        <color indexed="64"/>
      </right>
      <top style="medium">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
      <left style="hair">
        <color indexed="64"/>
      </left>
      <right style="thin">
        <color indexed="64"/>
      </right>
      <top style="medium">
        <color indexed="64"/>
      </top>
      <bottom style="medium">
        <color indexed="64"/>
      </bottom>
      <diagonal/>
    </border>
    <border>
      <left/>
      <right style="hair">
        <color indexed="64"/>
      </right>
      <top/>
      <bottom style="medium">
        <color indexed="64"/>
      </bottom>
      <diagonal/>
    </border>
    <border>
      <left style="hair">
        <color indexed="64"/>
      </left>
      <right/>
      <top style="medium">
        <color indexed="64"/>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auto="1"/>
      </left>
      <right style="thin">
        <color indexed="64"/>
      </right>
      <top style="hair">
        <color auto="1"/>
      </top>
      <bottom style="thin">
        <color indexed="64"/>
      </bottom>
      <diagonal/>
    </border>
    <border>
      <left style="hair">
        <color auto="1"/>
      </left>
      <right style="hair">
        <color auto="1"/>
      </right>
      <top style="hair">
        <color auto="1"/>
      </top>
      <bottom style="thin">
        <color indexed="64"/>
      </bottom>
      <diagonal/>
    </border>
    <border>
      <left/>
      <right style="hair">
        <color auto="1"/>
      </right>
      <top style="hair">
        <color auto="1"/>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style="hair">
        <color auto="1"/>
      </left>
      <right style="thin">
        <color indexed="64"/>
      </right>
      <top/>
      <bottom style="hair">
        <color auto="1"/>
      </bottom>
      <diagonal/>
    </border>
    <border>
      <left style="hair">
        <color auto="1"/>
      </left>
      <right style="hair">
        <color auto="1"/>
      </right>
      <top/>
      <bottom style="hair">
        <color auto="1"/>
      </bottom>
      <diagonal/>
    </border>
    <border>
      <left/>
      <right style="hair">
        <color auto="1"/>
      </right>
      <top style="thin">
        <color indexed="64"/>
      </top>
      <bottom style="hair">
        <color auto="1"/>
      </bottom>
      <diagonal/>
    </border>
    <border>
      <left style="thin">
        <color indexed="64"/>
      </left>
      <right/>
      <top style="thin">
        <color indexed="64"/>
      </top>
      <bottom style="hair">
        <color indexed="64"/>
      </bottom>
      <diagonal/>
    </border>
    <border>
      <left/>
      <right/>
      <top/>
      <bottom style="hair">
        <color auto="1"/>
      </bottom>
      <diagonal/>
    </border>
    <border>
      <left style="hair">
        <color auto="1"/>
      </left>
      <right style="thin">
        <color indexed="64"/>
      </right>
      <top style="thin">
        <color indexed="64"/>
      </top>
      <bottom style="thin">
        <color indexed="64"/>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hair">
        <color auto="1"/>
      </top>
      <bottom style="hair">
        <color auto="1"/>
      </bottom>
      <diagonal/>
    </border>
    <border>
      <left/>
      <right style="hair">
        <color auto="1"/>
      </right>
      <top/>
      <bottom style="hair">
        <color auto="1"/>
      </bottom>
      <diagonal/>
    </border>
    <border>
      <left/>
      <right style="hair">
        <color auto="1"/>
      </right>
      <top style="thin">
        <color indexed="64"/>
      </top>
      <bottom style="thin">
        <color indexed="64"/>
      </bottom>
      <diagonal/>
    </border>
    <border>
      <left style="hair">
        <color indexed="64"/>
      </left>
      <right style="hair">
        <color indexed="64"/>
      </right>
      <top style="thin">
        <color indexed="64"/>
      </top>
      <bottom/>
      <diagonal/>
    </border>
    <border>
      <left style="hair">
        <color auto="1"/>
      </left>
      <right/>
      <top style="thin">
        <color indexed="64"/>
      </top>
      <bottom/>
      <diagonal/>
    </border>
    <border>
      <left style="hair">
        <color indexed="64"/>
      </left>
      <right style="hair">
        <color indexed="64"/>
      </right>
      <top/>
      <bottom style="thin">
        <color indexed="64"/>
      </bottom>
      <diagonal/>
    </border>
    <border>
      <left/>
      <right style="thin">
        <color indexed="64"/>
      </right>
      <top style="thin">
        <color indexed="64"/>
      </top>
      <bottom style="hair">
        <color auto="1"/>
      </bottom>
      <diagonal/>
    </border>
    <border>
      <left style="thin">
        <color indexed="64"/>
      </left>
      <right/>
      <top/>
      <bottom style="hair">
        <color indexed="64"/>
      </bottom>
      <diagonal/>
    </border>
    <border>
      <left/>
      <right style="thin">
        <color indexed="64"/>
      </right>
      <top/>
      <bottom style="hair">
        <color auto="1"/>
      </bottom>
      <diagonal/>
    </border>
    <border>
      <left style="hair">
        <color auto="1"/>
      </left>
      <right/>
      <top style="hair">
        <color auto="1"/>
      </top>
      <bottom style="thin">
        <color indexed="64"/>
      </bottom>
      <diagonal/>
    </border>
    <border>
      <left/>
      <right style="thin">
        <color indexed="64"/>
      </right>
      <top style="hair">
        <color auto="1"/>
      </top>
      <bottom style="thin">
        <color indexed="64"/>
      </bottom>
      <diagonal/>
    </border>
  </borders>
  <cellStyleXfs count="12">
    <xf numFmtId="0" fontId="0" fillId="0" borderId="0">
      <alignment vertical="center"/>
    </xf>
    <xf numFmtId="0" fontId="48" fillId="0" borderId="0">
      <alignment vertical="center"/>
    </xf>
    <xf numFmtId="0" fontId="13" fillId="0" borderId="0">
      <alignment vertical="center"/>
    </xf>
    <xf numFmtId="0" fontId="48" fillId="0" borderId="0">
      <alignment vertical="center"/>
    </xf>
    <xf numFmtId="0" fontId="48" fillId="0" borderId="0">
      <alignment vertical="center"/>
    </xf>
    <xf numFmtId="0" fontId="13"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13" fillId="0" borderId="0">
      <alignment vertical="center"/>
    </xf>
    <xf numFmtId="0" fontId="48" fillId="0" borderId="0">
      <alignment vertical="center"/>
    </xf>
  </cellStyleXfs>
  <cellXfs count="87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Font="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lignment vertical="center"/>
    </xf>
    <xf numFmtId="0" fontId="0" fillId="9" borderId="1" xfId="0" applyFill="1" applyBorder="1">
      <alignment vertical="center"/>
    </xf>
    <xf numFmtId="0" fontId="0" fillId="9" borderId="2" xfId="0" applyFill="1" applyBorder="1">
      <alignment vertical="center"/>
    </xf>
    <xf numFmtId="0" fontId="6" fillId="6" borderId="1" xfId="0" applyFont="1" applyFill="1" applyBorder="1" applyAlignment="1">
      <alignment horizontal="center" vertical="center"/>
    </xf>
    <xf numFmtId="0" fontId="7" fillId="6" borderId="1" xfId="0" applyFont="1" applyFill="1" applyBorder="1" applyAlignment="1">
      <alignment horizontal="center" vertical="center"/>
    </xf>
    <xf numFmtId="0" fontId="8" fillId="6" borderId="1" xfId="0" applyFont="1" applyFill="1" applyBorder="1" applyAlignment="1">
      <alignment horizontal="center" vertical="center"/>
    </xf>
    <xf numFmtId="0" fontId="2" fillId="0" borderId="0" xfId="0" applyFont="1" applyAlignment="1">
      <alignment horizontal="left" vertical="center"/>
    </xf>
    <xf numFmtId="0" fontId="12" fillId="11" borderId="1" xfId="0" applyFont="1" applyFill="1" applyBorder="1" applyAlignment="1">
      <alignment horizontal="center" vertical="center"/>
    </xf>
    <xf numFmtId="0" fontId="9" fillId="0" borderId="0" xfId="0" applyFont="1" applyAlignment="1">
      <alignment horizontal="right" vertical="center"/>
    </xf>
    <xf numFmtId="0" fontId="9" fillId="0" borderId="0" xfId="0" applyFont="1"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0" fillId="12" borderId="1" xfId="0" applyFill="1" applyBorder="1">
      <alignment vertical="center"/>
    </xf>
    <xf numFmtId="0" fontId="9" fillId="0" borderId="0" xfId="0" applyFont="1" applyAlignment="1">
      <alignment horizontal="left" vertical="center"/>
    </xf>
    <xf numFmtId="0" fontId="2" fillId="5" borderId="1" xfId="0" applyFont="1" applyFill="1" applyBorder="1" applyAlignment="1">
      <alignment horizontal="center" vertical="center"/>
    </xf>
    <xf numFmtId="0" fontId="0" fillId="0" borderId="1" xfId="0" applyBorder="1" applyAlignment="1">
      <alignment horizontal="center" vertical="center"/>
    </xf>
    <xf numFmtId="0" fontId="6" fillId="6" borderId="1" xfId="0"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7" fillId="6" borderId="1" xfId="0" applyFont="1" applyFill="1" applyBorder="1" applyAlignment="1">
      <alignment horizontal="center" vertical="center" shrinkToFit="1"/>
    </xf>
    <xf numFmtId="0" fontId="0" fillId="0" borderId="0" xfId="0"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9" fillId="0" borderId="0" xfId="0" applyFont="1" applyAlignment="1">
      <alignment horizontal="left" vertical="center"/>
    </xf>
    <xf numFmtId="0" fontId="2" fillId="0" borderId="0" xfId="0" applyFont="1" applyAlignment="1">
      <alignment horizontal="left" vertical="center"/>
    </xf>
    <xf numFmtId="0" fontId="12" fillId="11" borderId="1" xfId="0" applyFont="1" applyFill="1" applyBorder="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0" fillId="0" borderId="19" xfId="0" applyBorder="1" applyAlignment="1">
      <alignment horizontal="center" vertical="center"/>
    </xf>
    <xf numFmtId="0" fontId="6" fillId="13" borderId="1" xfId="0" applyFont="1" applyFill="1" applyBorder="1" applyAlignment="1">
      <alignment horizontal="center" vertical="center" shrinkToFit="1"/>
    </xf>
    <xf numFmtId="0" fontId="8" fillId="13" borderId="1" xfId="0" applyFont="1" applyFill="1" applyBorder="1" applyAlignment="1">
      <alignment horizontal="center" vertical="center" shrinkToFit="1"/>
    </xf>
    <xf numFmtId="0" fontId="7" fillId="13" borderId="1" xfId="0" applyFont="1" applyFill="1" applyBorder="1" applyAlignment="1">
      <alignment horizontal="center" vertical="center" shrinkToFit="1"/>
    </xf>
    <xf numFmtId="0" fontId="6" fillId="13" borderId="1" xfId="0" applyFont="1" applyFill="1" applyBorder="1" applyAlignment="1">
      <alignment horizontal="center" vertical="center"/>
    </xf>
    <xf numFmtId="0" fontId="8" fillId="13" borderId="1" xfId="0" applyFont="1" applyFill="1" applyBorder="1" applyAlignment="1">
      <alignment horizontal="center" vertical="center"/>
    </xf>
    <xf numFmtId="0" fontId="7" fillId="13" borderId="1" xfId="0" applyFont="1" applyFill="1" applyBorder="1" applyAlignment="1">
      <alignment horizontal="center" vertical="center"/>
    </xf>
    <xf numFmtId="0" fontId="12" fillId="0"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16" fillId="0"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0" xfId="0">
      <alignment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7" fillId="6" borderId="13" xfId="0" applyFont="1" applyFill="1" applyBorder="1" applyAlignment="1">
      <alignment horizontal="center" vertical="center" shrinkToFit="1"/>
    </xf>
    <xf numFmtId="0" fontId="17" fillId="0" borderId="0" xfId="0" applyFont="1">
      <alignment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4" fillId="3" borderId="26" xfId="0" applyFont="1" applyFill="1" applyBorder="1" applyAlignment="1">
      <alignment horizontal="center" vertical="center" wrapText="1"/>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7" fillId="13" borderId="13" xfId="0" applyFont="1" applyFill="1" applyBorder="1" applyAlignment="1">
      <alignment horizontal="center" vertical="center" shrinkToFit="1"/>
    </xf>
    <xf numFmtId="0" fontId="4" fillId="16" borderId="24" xfId="0" applyFont="1" applyFill="1" applyBorder="1" applyAlignment="1">
      <alignment horizontal="center" vertical="center" wrapText="1"/>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0" fillId="0" borderId="0" xfId="0"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4" fillId="0" borderId="39" xfId="0" applyFont="1" applyFill="1" applyBorder="1" applyAlignment="1">
      <alignment horizontal="center" vertical="center" wrapText="1" shrinkToFit="1"/>
    </xf>
    <xf numFmtId="0" fontId="4" fillId="0" borderId="41" xfId="0" applyFont="1" applyFill="1" applyBorder="1" applyAlignment="1">
      <alignment horizontal="center" vertical="center" wrapText="1"/>
    </xf>
    <xf numFmtId="0" fontId="4" fillId="15" borderId="41" xfId="0" applyFont="1" applyFill="1" applyBorder="1" applyAlignment="1">
      <alignment horizontal="center" vertical="center" wrapText="1"/>
    </xf>
    <xf numFmtId="0" fontId="11" fillId="9" borderId="12" xfId="0" applyFont="1" applyFill="1" applyBorder="1" applyAlignment="1">
      <alignment horizontal="center" vertical="center" shrinkToFit="1"/>
    </xf>
    <xf numFmtId="0" fontId="11" fillId="9" borderId="1" xfId="0" applyFont="1" applyFill="1" applyBorder="1" applyAlignment="1">
      <alignment horizontal="center" vertical="center" shrinkToFit="1"/>
    </xf>
    <xf numFmtId="0" fontId="9" fillId="9" borderId="1" xfId="0" applyFont="1" applyFill="1" applyBorder="1" applyAlignment="1">
      <alignment horizontal="center" vertical="center" shrinkToFit="1"/>
    </xf>
    <xf numFmtId="0" fontId="9" fillId="9" borderId="12" xfId="0" applyFont="1" applyFill="1" applyBorder="1" applyAlignment="1">
      <alignment horizontal="center" vertical="center" shrinkToFit="1"/>
    </xf>
    <xf numFmtId="0" fontId="9" fillId="9" borderId="19" xfId="0" applyFont="1" applyFill="1" applyBorder="1" applyAlignment="1">
      <alignment horizontal="center" vertical="center" shrinkToFit="1"/>
    </xf>
    <xf numFmtId="0" fontId="9" fillId="9" borderId="2" xfId="0" applyFont="1" applyFill="1" applyBorder="1" applyAlignment="1">
      <alignment horizontal="center" vertical="center" shrinkToFit="1"/>
    </xf>
    <xf numFmtId="0" fontId="0" fillId="0" borderId="0" xfId="0">
      <alignment vertical="center"/>
    </xf>
    <xf numFmtId="0" fontId="9" fillId="0" borderId="0" xfId="0" applyFont="1">
      <alignment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7" fillId="6" borderId="13" xfId="0" applyFont="1" applyFill="1" applyBorder="1" applyAlignment="1">
      <alignment horizontal="center" vertical="center" shrinkToFit="1"/>
    </xf>
    <xf numFmtId="0" fontId="6" fillId="6" borderId="1" xfId="0" applyFont="1" applyFill="1" applyBorder="1" applyAlignment="1">
      <alignment horizontal="center" vertical="center"/>
    </xf>
    <xf numFmtId="0" fontId="6" fillId="6" borderId="1" xfId="0"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0" fillId="0" borderId="0" xfId="0">
      <alignment vertical="center"/>
    </xf>
    <xf numFmtId="0" fontId="0" fillId="0" borderId="0" xfId="0" applyAlignment="1">
      <alignment horizontal="center" vertical="center"/>
    </xf>
    <xf numFmtId="0" fontId="0" fillId="0" borderId="0" xfId="0" applyFont="1" applyAlignment="1">
      <alignment horizontal="center" vertical="center"/>
    </xf>
    <xf numFmtId="0" fontId="6" fillId="6" borderId="1" xfId="0" applyFont="1" applyFill="1" applyBorder="1" applyAlignment="1">
      <alignment horizontal="center" vertical="center"/>
    </xf>
    <xf numFmtId="0" fontId="7" fillId="6" borderId="1" xfId="0" applyFont="1" applyFill="1" applyBorder="1" applyAlignment="1">
      <alignment horizontal="center" vertical="center"/>
    </xf>
    <xf numFmtId="0" fontId="8" fillId="6" borderId="1" xfId="0" applyFont="1" applyFill="1" applyBorder="1" applyAlignment="1">
      <alignment horizontal="center" vertical="center"/>
    </xf>
    <xf numFmtId="0" fontId="2" fillId="0" borderId="0" xfId="0" applyFont="1" applyAlignment="1">
      <alignment horizontal="left" vertical="center"/>
    </xf>
    <xf numFmtId="0" fontId="6" fillId="6" borderId="1" xfId="0" applyFont="1" applyFill="1" applyBorder="1" applyAlignment="1">
      <alignment horizontal="center" vertical="center" shrinkToFit="1"/>
    </xf>
    <xf numFmtId="0" fontId="8" fillId="6" borderId="1" xfId="0" applyFont="1" applyFill="1" applyBorder="1" applyAlignment="1">
      <alignment horizontal="center" vertical="center" shrinkToFit="1"/>
    </xf>
    <xf numFmtId="0" fontId="7" fillId="6" borderId="1" xfId="0" applyFont="1" applyFill="1" applyBorder="1" applyAlignment="1">
      <alignment horizontal="center" vertical="center" shrinkToFit="1"/>
    </xf>
    <xf numFmtId="0" fontId="0" fillId="0" borderId="19" xfId="0" applyBorder="1" applyAlignment="1">
      <alignment horizontal="center" vertical="center"/>
    </xf>
    <xf numFmtId="0" fontId="0" fillId="9" borderId="12" xfId="0" applyFill="1" applyBorder="1" applyAlignment="1">
      <alignment horizontal="center" vertical="center"/>
    </xf>
    <xf numFmtId="0" fontId="9" fillId="0" borderId="0" xfId="0" applyFont="1" applyAlignment="1">
      <alignment horizontal="left" vertical="center"/>
    </xf>
    <xf numFmtId="0" fontId="17" fillId="0" borderId="0" xfId="0" applyFont="1">
      <alignment vertical="center"/>
    </xf>
    <xf numFmtId="0" fontId="17" fillId="9" borderId="19" xfId="0" applyFont="1" applyFill="1" applyBorder="1" applyAlignment="1">
      <alignment horizontal="center" vertical="center" shrinkToFit="1"/>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0" borderId="0" xfId="0">
      <alignment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0" fillId="0" borderId="0" xfId="0">
      <alignment vertical="center"/>
    </xf>
    <xf numFmtId="0" fontId="16" fillId="0" borderId="0" xfId="0" applyFont="1" applyAlignment="1">
      <alignment horizontal="center" vertical="center"/>
    </xf>
    <xf numFmtId="0" fontId="16" fillId="0" borderId="0" xfId="0" applyFont="1">
      <alignment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0" fillId="0" borderId="0" xfId="0">
      <alignment vertical="center"/>
    </xf>
    <xf numFmtId="0" fontId="6" fillId="17" borderId="1" xfId="0" applyFont="1" applyFill="1" applyBorder="1" applyAlignment="1">
      <alignment horizontal="center" vertical="center"/>
    </xf>
    <xf numFmtId="0" fontId="8" fillId="17" borderId="1" xfId="0" applyFont="1" applyFill="1" applyBorder="1" applyAlignment="1">
      <alignment horizontal="center" vertical="center"/>
    </xf>
    <xf numFmtId="0" fontId="7" fillId="17" borderId="1" xfId="0" applyFont="1" applyFill="1" applyBorder="1" applyAlignment="1">
      <alignment horizontal="center" vertical="center"/>
    </xf>
    <xf numFmtId="0" fontId="6" fillId="17" borderId="1" xfId="0" applyFont="1" applyFill="1" applyBorder="1" applyAlignment="1">
      <alignment horizontal="center" vertical="center" shrinkToFit="1"/>
    </xf>
    <xf numFmtId="0" fontId="7" fillId="17" borderId="13" xfId="0" applyFont="1" applyFill="1" applyBorder="1" applyAlignment="1">
      <alignment horizontal="center" vertical="center" shrinkToFit="1"/>
    </xf>
    <xf numFmtId="0" fontId="8" fillId="17" borderId="1" xfId="0" applyFont="1" applyFill="1" applyBorder="1" applyAlignment="1">
      <alignment horizontal="center" vertical="center" shrinkToFit="1"/>
    </xf>
    <xf numFmtId="0" fontId="7" fillId="17" borderId="1" xfId="0" applyFont="1" applyFill="1" applyBorder="1" applyAlignment="1">
      <alignment horizontal="center" vertical="center" shrinkToFit="1"/>
    </xf>
    <xf numFmtId="0" fontId="24" fillId="9" borderId="1" xfId="0" applyFont="1" applyFill="1" applyBorder="1" applyAlignment="1">
      <alignment horizontal="center" vertical="center" shrinkToFit="1"/>
    </xf>
    <xf numFmtId="0" fontId="24" fillId="9" borderId="19" xfId="0" applyFont="1" applyFill="1" applyBorder="1" applyAlignment="1">
      <alignment horizontal="center" vertical="center" shrinkToFit="1"/>
    </xf>
    <xf numFmtId="0" fontId="9" fillId="0" borderId="0" xfId="0" applyFont="1">
      <alignment vertical="center"/>
    </xf>
    <xf numFmtId="0" fontId="0" fillId="0" borderId="0" xfId="0">
      <alignment vertical="center"/>
    </xf>
    <xf numFmtId="0" fontId="0" fillId="9" borderId="1" xfId="0" applyFill="1" applyBorder="1" applyAlignment="1">
      <alignment horizontal="center" vertical="center"/>
    </xf>
    <xf numFmtId="0" fontId="7" fillId="17" borderId="13" xfId="0" applyFont="1" applyFill="1" applyBorder="1" applyAlignment="1">
      <alignment horizontal="center" vertical="center" shrinkToFit="1"/>
    </xf>
    <xf numFmtId="0" fontId="2" fillId="5" borderId="1" xfId="0" applyFont="1" applyFill="1" applyBorder="1" applyAlignment="1">
      <alignment horizontal="center" vertical="center"/>
    </xf>
    <xf numFmtId="0" fontId="0" fillId="0" borderId="0" xfId="0">
      <alignment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0" borderId="0" xfId="0">
      <alignment vertical="center"/>
    </xf>
    <xf numFmtId="0" fontId="2" fillId="5" borderId="1"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9" borderId="12" xfId="0" applyFill="1" applyBorder="1" applyAlignment="1">
      <alignment horizontal="center" vertical="center"/>
    </xf>
    <xf numFmtId="0" fontId="7" fillId="13" borderId="13" xfId="0" applyFont="1" applyFill="1" applyBorder="1" applyAlignment="1">
      <alignment horizontal="center" vertical="center" shrinkToFit="1"/>
    </xf>
    <xf numFmtId="0" fontId="0" fillId="9" borderId="12"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7" fillId="13" borderId="13" xfId="0" applyFont="1" applyFill="1" applyBorder="1" applyAlignment="1">
      <alignment horizontal="center" vertical="center" shrinkToFit="1"/>
    </xf>
    <xf numFmtId="0" fontId="9" fillId="9" borderId="12" xfId="0" applyFont="1" applyFill="1" applyBorder="1" applyAlignment="1">
      <alignment horizontal="center" vertical="center"/>
    </xf>
    <xf numFmtId="0" fontId="11" fillId="9" borderId="19"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9" borderId="12" xfId="0" applyFill="1" applyBorder="1" applyAlignment="1">
      <alignment horizontal="center" vertical="center"/>
    </xf>
    <xf numFmtId="0" fontId="7" fillId="6" borderId="13" xfId="0" applyFont="1" applyFill="1" applyBorder="1" applyAlignment="1">
      <alignment horizontal="center" vertical="center" shrinkToFit="1"/>
    </xf>
    <xf numFmtId="0" fontId="20" fillId="5" borderId="1" xfId="0" applyFont="1" applyFill="1" applyBorder="1" applyAlignment="1">
      <alignment horizontal="center" vertical="center"/>
    </xf>
    <xf numFmtId="0" fontId="0" fillId="0" borderId="0" xfId="0" applyBorder="1" applyAlignment="1">
      <alignment horizontal="left"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0"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9" borderId="12" xfId="0" applyFill="1" applyBorder="1" applyAlignment="1">
      <alignment horizontal="center" vertical="center"/>
    </xf>
    <xf numFmtId="0" fontId="0" fillId="0" borderId="0" xfId="0" applyBorder="1" applyAlignment="1">
      <alignment horizontal="left" vertical="center"/>
    </xf>
    <xf numFmtId="0" fontId="24" fillId="9" borderId="12" xfId="0" applyFont="1" applyFill="1" applyBorder="1" applyAlignment="1">
      <alignment horizontal="center" vertical="center" shrinkToFit="1"/>
    </xf>
    <xf numFmtId="0" fontId="8" fillId="17" borderId="22" xfId="0" applyFont="1" applyFill="1" applyBorder="1" applyAlignment="1">
      <alignment horizontal="center" vertical="center"/>
    </xf>
    <xf numFmtId="0" fontId="27" fillId="12" borderId="49" xfId="0" applyFont="1" applyFill="1" applyBorder="1" applyAlignment="1">
      <alignment horizontal="center" vertical="center"/>
    </xf>
    <xf numFmtId="0" fontId="27" fillId="12" borderId="27" xfId="0" applyFont="1" applyFill="1" applyBorder="1" applyAlignment="1">
      <alignment horizontal="center" vertical="center"/>
    </xf>
    <xf numFmtId="0" fontId="27" fillId="12" borderId="25" xfId="0" applyFont="1" applyFill="1" applyBorder="1" applyAlignment="1">
      <alignment horizontal="center" vertical="center"/>
    </xf>
    <xf numFmtId="0" fontId="0" fillId="12" borderId="15" xfId="0" applyFill="1" applyBorder="1" applyAlignment="1">
      <alignment horizontal="center" vertical="center"/>
    </xf>
    <xf numFmtId="0" fontId="0" fillId="12" borderId="1" xfId="0" applyFill="1" applyBorder="1" applyAlignment="1">
      <alignment horizontal="center" vertical="center"/>
    </xf>
    <xf numFmtId="0" fontId="28" fillId="0" borderId="53" xfId="0" applyFont="1" applyBorder="1" applyAlignment="1">
      <alignment horizontal="center" vertical="center"/>
    </xf>
    <xf numFmtId="0" fontId="28" fillId="0" borderId="28" xfId="0" applyFont="1" applyBorder="1" applyAlignment="1">
      <alignment horizontal="center" vertical="center"/>
    </xf>
    <xf numFmtId="0" fontId="28" fillId="0" borderId="21" xfId="0" applyFont="1" applyBorder="1" applyAlignment="1">
      <alignment horizontal="center" vertical="center"/>
    </xf>
    <xf numFmtId="0" fontId="20" fillId="5" borderId="15" xfId="0" applyFont="1" applyFill="1" applyBorder="1" applyAlignment="1">
      <alignment horizontal="center" vertical="center"/>
    </xf>
    <xf numFmtId="0" fontId="4" fillId="0" borderId="59" xfId="0" applyFont="1" applyFill="1" applyBorder="1" applyAlignment="1">
      <alignment horizontal="center" vertical="center" wrapText="1"/>
    </xf>
    <xf numFmtId="0" fontId="0" fillId="9" borderId="12" xfId="0" applyFill="1" applyBorder="1" applyAlignment="1">
      <alignment horizontal="center" vertical="center"/>
    </xf>
    <xf numFmtId="0" fontId="20" fillId="5"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0" fillId="0" borderId="0" xfId="0" applyBorder="1" applyAlignment="1">
      <alignment horizontal="left" vertical="center"/>
    </xf>
    <xf numFmtId="0" fontId="9" fillId="9" borderId="2" xfId="0" applyFont="1" applyFill="1" applyBorder="1" applyAlignment="1">
      <alignment horizontal="center" vertical="center"/>
    </xf>
    <xf numFmtId="0" fontId="3" fillId="7" borderId="53" xfId="0" applyFont="1" applyFill="1" applyBorder="1" applyAlignment="1">
      <alignment horizontal="center" vertical="center"/>
    </xf>
    <xf numFmtId="0" fontId="3" fillId="7" borderId="52" xfId="0" applyFont="1" applyFill="1" applyBorder="1" applyAlignment="1">
      <alignment horizontal="center" vertical="center"/>
    </xf>
    <xf numFmtId="0" fontId="0" fillId="9" borderId="12"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24" fillId="9" borderId="2" xfId="0" applyFont="1" applyFill="1" applyBorder="1" applyAlignment="1">
      <alignment horizontal="center" vertical="center" shrinkToFit="1"/>
    </xf>
    <xf numFmtId="0" fontId="6" fillId="18" borderId="1" xfId="0" applyFont="1" applyFill="1" applyBorder="1" applyAlignment="1">
      <alignment horizontal="center" vertical="center"/>
    </xf>
    <xf numFmtId="0" fontId="8" fillId="18" borderId="1" xfId="0" applyFont="1" applyFill="1" applyBorder="1" applyAlignment="1">
      <alignment horizontal="center" vertical="center"/>
    </xf>
    <xf numFmtId="0" fontId="7" fillId="18" borderId="1" xfId="0" applyFont="1" applyFill="1" applyBorder="1" applyAlignment="1">
      <alignment horizontal="center" vertical="center"/>
    </xf>
    <xf numFmtId="0" fontId="6" fillId="18" borderId="1" xfId="0" applyFont="1" applyFill="1" applyBorder="1" applyAlignment="1">
      <alignment horizontal="center" vertical="center" shrinkToFit="1"/>
    </xf>
    <xf numFmtId="0" fontId="7" fillId="18" borderId="13" xfId="0" applyFont="1" applyFill="1" applyBorder="1" applyAlignment="1">
      <alignment horizontal="center" vertical="center" shrinkToFit="1"/>
    </xf>
    <xf numFmtId="0" fontId="8" fillId="18" borderId="1" xfId="0" applyFont="1" applyFill="1" applyBorder="1" applyAlignment="1">
      <alignment horizontal="center" vertical="center" shrinkToFit="1"/>
    </xf>
    <xf numFmtId="0" fontId="7" fillId="18" borderId="1" xfId="0" applyFont="1" applyFill="1" applyBorder="1" applyAlignment="1">
      <alignment horizontal="center" vertical="center" shrinkToFit="1"/>
    </xf>
    <xf numFmtId="56" fontId="2" fillId="5" borderId="1" xfId="0" quotePrefix="1" applyNumberFormat="1" applyFont="1" applyFill="1" applyBorder="1" applyAlignment="1">
      <alignment horizontal="center" vertical="center"/>
    </xf>
    <xf numFmtId="0" fontId="10" fillId="7" borderId="61" xfId="0" applyFont="1" applyFill="1" applyBorder="1" applyAlignment="1">
      <alignment horizontal="center" vertical="center" wrapText="1"/>
    </xf>
    <xf numFmtId="0" fontId="5" fillId="19" borderId="1" xfId="0" applyFont="1" applyFill="1" applyBorder="1" applyAlignment="1">
      <alignment horizontal="center" vertical="center"/>
    </xf>
    <xf numFmtId="0" fontId="0" fillId="9" borderId="12" xfId="0" applyFill="1" applyBorder="1" applyAlignment="1">
      <alignment horizontal="center" vertical="center"/>
    </xf>
    <xf numFmtId="0" fontId="20" fillId="5"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0" fillId="0" borderId="0" xfId="0" applyBorder="1" applyAlignment="1">
      <alignment horizontal="left" vertical="center"/>
    </xf>
    <xf numFmtId="0" fontId="7" fillId="17" borderId="13" xfId="0" applyFont="1" applyFill="1" applyBorder="1" applyAlignment="1">
      <alignment horizontal="center" vertical="center" shrinkToFit="1"/>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9" borderId="12" xfId="0" applyFill="1" applyBorder="1" applyAlignment="1">
      <alignment horizontal="center" vertical="center"/>
    </xf>
    <xf numFmtId="176" fontId="9" fillId="0" borderId="0" xfId="0" applyNumberFormat="1" applyFont="1" applyAlignment="1">
      <alignment horizontal="center" vertical="center"/>
    </xf>
    <xf numFmtId="0" fontId="0" fillId="9" borderId="12"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7" fillId="13" borderId="13" xfId="0" applyFont="1" applyFill="1" applyBorder="1" applyAlignment="1">
      <alignment horizontal="center" vertical="center" shrinkToFit="1"/>
    </xf>
    <xf numFmtId="0" fontId="0" fillId="0" borderId="1" xfId="0" applyBorder="1" applyAlignment="1">
      <alignment horizontal="center" vertical="center"/>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0" fillId="9" borderId="13" xfId="0" applyFill="1" applyBorder="1" applyAlignment="1">
      <alignment horizontal="center" vertical="center"/>
    </xf>
    <xf numFmtId="0" fontId="0" fillId="9" borderId="2" xfId="0" applyFill="1" applyBorder="1" applyAlignment="1">
      <alignment horizontal="center" vertical="center"/>
    </xf>
    <xf numFmtId="0" fontId="0" fillId="0" borderId="13" xfId="0" applyBorder="1" applyAlignment="1">
      <alignment horizontal="center" vertical="center"/>
    </xf>
    <xf numFmtId="0" fontId="2" fillId="5" borderId="13" xfId="0" applyFont="1" applyFill="1" applyBorder="1" applyAlignment="1">
      <alignment horizontal="center" vertical="center"/>
    </xf>
    <xf numFmtId="0" fontId="20" fillId="5" borderId="14" xfId="0" applyFont="1" applyFill="1" applyBorder="1" applyAlignment="1">
      <alignment horizontal="center" vertical="center"/>
    </xf>
    <xf numFmtId="0" fontId="20" fillId="5" borderId="13" xfId="0" applyFont="1" applyFill="1" applyBorder="1" applyAlignment="1">
      <alignment horizontal="center" vertical="center"/>
    </xf>
    <xf numFmtId="0" fontId="0" fillId="12" borderId="0" xfId="0" applyFill="1" applyBorder="1" applyAlignment="1">
      <alignment horizontal="center" vertical="center"/>
    </xf>
    <xf numFmtId="0" fontId="20" fillId="5" borderId="0" xfId="0" applyFont="1" applyFill="1" applyBorder="1" applyAlignment="1">
      <alignment horizontal="center" vertical="center"/>
    </xf>
    <xf numFmtId="0" fontId="0" fillId="14" borderId="1" xfId="0" applyFill="1" applyBorder="1" applyAlignment="1">
      <alignment horizontal="center" vertical="center"/>
    </xf>
    <xf numFmtId="0" fontId="2" fillId="0" borderId="0" xfId="0" applyFont="1">
      <alignment vertical="center"/>
    </xf>
    <xf numFmtId="0" fontId="0" fillId="0" borderId="0" xfId="0">
      <alignment vertical="center"/>
    </xf>
    <xf numFmtId="0" fontId="0" fillId="0" borderId="0" xfId="0" applyAlignment="1">
      <alignment horizontal="center" vertical="center"/>
    </xf>
    <xf numFmtId="0" fontId="10" fillId="7" borderId="35" xfId="0" applyFont="1" applyFill="1" applyBorder="1" applyAlignment="1">
      <alignment horizontal="center" vertical="center" wrapText="1"/>
    </xf>
    <xf numFmtId="0" fontId="3" fillId="7" borderId="27" xfId="0" applyFont="1" applyFill="1" applyBorder="1" applyAlignment="1">
      <alignment horizontal="center" vertical="center"/>
    </xf>
    <xf numFmtId="0" fontId="3" fillId="7" borderId="25" xfId="0" applyFont="1" applyFill="1" applyBorder="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Font="1"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2" fillId="0" borderId="0" xfId="0" applyFont="1" applyAlignment="1">
      <alignment horizontal="left" vertical="center"/>
    </xf>
    <xf numFmtId="0" fontId="12" fillId="11" borderId="1" xfId="0" applyFont="1" applyFill="1" applyBorder="1" applyAlignment="1">
      <alignment horizontal="center" vertical="center"/>
    </xf>
    <xf numFmtId="0" fontId="9" fillId="0" borderId="0" xfId="0" applyFont="1" applyAlignment="1">
      <alignment horizontal="left" vertical="center"/>
    </xf>
    <xf numFmtId="0" fontId="5" fillId="2" borderId="23" xfId="0" applyFont="1" applyFill="1" applyBorder="1" applyAlignment="1">
      <alignment horizontal="center" vertical="center" shrinkToFit="1"/>
    </xf>
    <xf numFmtId="0" fontId="0" fillId="9" borderId="12" xfId="0" applyFill="1" applyBorder="1" applyAlignment="1">
      <alignment horizontal="center" vertical="center"/>
    </xf>
    <xf numFmtId="0" fontId="0" fillId="0" borderId="19" xfId="0" applyBorder="1" applyAlignment="1">
      <alignment horizontal="center" vertical="center"/>
    </xf>
    <xf numFmtId="0" fontId="6" fillId="13" borderId="1" xfId="0" applyFont="1" applyFill="1" applyBorder="1" applyAlignment="1">
      <alignment horizontal="center" vertical="center" shrinkToFit="1"/>
    </xf>
    <xf numFmtId="0" fontId="8" fillId="13" borderId="1" xfId="0" applyFont="1" applyFill="1" applyBorder="1" applyAlignment="1">
      <alignment horizontal="center" vertical="center" shrinkToFit="1"/>
    </xf>
    <xf numFmtId="0" fontId="7" fillId="13" borderId="1" xfId="0" applyFont="1" applyFill="1" applyBorder="1" applyAlignment="1">
      <alignment horizontal="center" vertical="center" shrinkToFit="1"/>
    </xf>
    <xf numFmtId="0" fontId="6" fillId="13" borderId="1" xfId="0" applyFont="1" applyFill="1" applyBorder="1" applyAlignment="1">
      <alignment horizontal="center" vertical="center"/>
    </xf>
    <xf numFmtId="0" fontId="8" fillId="13" borderId="1" xfId="0" applyFont="1" applyFill="1" applyBorder="1" applyAlignment="1">
      <alignment horizontal="center" vertical="center"/>
    </xf>
    <xf numFmtId="0" fontId="7" fillId="13" borderId="1" xfId="0" applyFont="1" applyFill="1" applyBorder="1" applyAlignment="1">
      <alignment horizontal="center" vertical="center"/>
    </xf>
    <xf numFmtId="0" fontId="17" fillId="0" borderId="0" xfId="0" applyFont="1">
      <alignment vertical="center"/>
    </xf>
    <xf numFmtId="0" fontId="5" fillId="4" borderId="20" xfId="0" applyFont="1" applyFill="1" applyBorder="1" applyAlignment="1">
      <alignment horizontal="center" vertical="center" shrinkToFit="1"/>
    </xf>
    <xf numFmtId="0" fontId="10" fillId="8" borderId="34"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11" fillId="9" borderId="12" xfId="0" applyFont="1" applyFill="1" applyBorder="1" applyAlignment="1">
      <alignment horizontal="center" vertical="center" shrinkToFit="1"/>
    </xf>
    <xf numFmtId="0" fontId="11" fillId="9" borderId="1" xfId="0" applyFont="1" applyFill="1" applyBorder="1" applyAlignment="1">
      <alignment horizontal="center" vertical="center" shrinkToFit="1"/>
    </xf>
    <xf numFmtId="0" fontId="9" fillId="9" borderId="1" xfId="0" applyFont="1" applyFill="1" applyBorder="1" applyAlignment="1">
      <alignment horizontal="center" vertical="center" shrinkToFit="1"/>
    </xf>
    <xf numFmtId="0" fontId="9" fillId="9" borderId="19" xfId="0" applyFont="1" applyFill="1" applyBorder="1" applyAlignment="1">
      <alignment horizontal="center" vertical="center" shrinkToFit="1"/>
    </xf>
    <xf numFmtId="0" fontId="9" fillId="9" borderId="2" xfId="0" applyFont="1" applyFill="1" applyBorder="1" applyAlignment="1">
      <alignment horizontal="center" vertical="center" shrinkToFit="1"/>
    </xf>
    <xf numFmtId="0" fontId="9" fillId="0" borderId="0" xfId="0" applyFont="1">
      <alignment vertical="center"/>
    </xf>
    <xf numFmtId="0" fontId="17" fillId="9" borderId="19" xfId="0" applyFont="1" applyFill="1" applyBorder="1" applyAlignment="1">
      <alignment horizontal="center" vertical="center" shrinkToFit="1"/>
    </xf>
    <xf numFmtId="0" fontId="10" fillId="7" borderId="4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3"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19" borderId="1" xfId="0" applyFont="1" applyFill="1" applyBorder="1" applyAlignment="1">
      <alignment horizontal="center" vertical="center"/>
    </xf>
    <xf numFmtId="0" fontId="9" fillId="9" borderId="12" xfId="0" applyFont="1" applyFill="1" applyBorder="1" applyAlignment="1">
      <alignment horizontal="center" vertical="center" shrinkToFit="1"/>
    </xf>
    <xf numFmtId="0" fontId="9" fillId="9" borderId="19" xfId="0" applyFont="1" applyFill="1" applyBorder="1" applyAlignment="1">
      <alignment horizontal="center" vertical="center" shrinkToFit="1"/>
    </xf>
    <xf numFmtId="0" fontId="3" fillId="8" borderId="21" xfId="0" applyFont="1" applyFill="1" applyBorder="1" applyAlignment="1">
      <alignment horizontal="center" vertical="center"/>
    </xf>
    <xf numFmtId="0" fontId="3" fillId="8" borderId="28"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64" xfId="0" applyFont="1" applyFill="1" applyBorder="1" applyAlignment="1">
      <alignment horizontal="center" vertical="center"/>
    </xf>
    <xf numFmtId="0" fontId="0" fillId="0" borderId="0" xfId="0">
      <alignment vertical="center"/>
    </xf>
    <xf numFmtId="0" fontId="0" fillId="0" borderId="0" xfId="0" applyAlignment="1">
      <alignment horizontal="center" vertical="center"/>
    </xf>
    <xf numFmtId="0" fontId="16" fillId="0" borderId="0" xfId="0" applyFont="1" applyAlignment="1">
      <alignment horizontal="center"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lignment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0" fillId="9" borderId="1" xfId="0" applyFill="1" applyBorder="1" applyAlignment="1">
      <alignment horizontal="center" vertical="center"/>
    </xf>
    <xf numFmtId="0" fontId="0" fillId="9" borderId="12" xfId="0" applyFill="1" applyBorder="1" applyAlignment="1">
      <alignment horizontal="center" vertical="center"/>
    </xf>
    <xf numFmtId="0" fontId="7" fillId="13" borderId="13" xfId="0" applyFont="1" applyFill="1" applyBorder="1" applyAlignment="1">
      <alignment horizontal="center" vertical="center" shrinkToFit="1"/>
    </xf>
    <xf numFmtId="0" fontId="7" fillId="17" borderId="13" xfId="0" applyFont="1" applyFill="1" applyBorder="1" applyAlignment="1">
      <alignment horizontal="center" vertical="center" shrinkToFit="1"/>
    </xf>
    <xf numFmtId="0" fontId="2" fillId="5" borderId="1" xfId="0" applyFont="1" applyFill="1" applyBorder="1" applyAlignment="1">
      <alignment horizontal="center" vertical="center"/>
    </xf>
    <xf numFmtId="0" fontId="16" fillId="0" borderId="7"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7" fillId="13" borderId="13" xfId="0" applyFont="1" applyFill="1" applyBorder="1" applyAlignment="1">
      <alignment horizontal="center" vertical="center" shrinkToFit="1"/>
    </xf>
    <xf numFmtId="0" fontId="16" fillId="0" borderId="11" xfId="0" applyFont="1" applyBorder="1" applyAlignment="1">
      <alignment horizontal="left" vertical="center"/>
    </xf>
    <xf numFmtId="0" fontId="4" fillId="20" borderId="67" xfId="0" applyFont="1" applyFill="1" applyBorder="1" applyAlignment="1">
      <alignment horizontal="center" vertical="center" shrinkToFit="1"/>
    </xf>
    <xf numFmtId="0" fontId="3" fillId="20" borderId="69" xfId="0" applyFont="1" applyFill="1" applyBorder="1" applyAlignment="1">
      <alignment horizontal="center" vertical="center"/>
    </xf>
    <xf numFmtId="0" fontId="3" fillId="20" borderId="70" xfId="0" applyFont="1" applyFill="1" applyBorder="1" applyAlignment="1">
      <alignment horizontal="center" vertical="center"/>
    </xf>
    <xf numFmtId="0" fontId="37" fillId="5" borderId="71" xfId="0" applyFont="1" applyFill="1" applyBorder="1" applyAlignment="1">
      <alignment horizontal="center" vertical="center" wrapText="1" shrinkToFit="1"/>
    </xf>
    <xf numFmtId="0" fontId="38" fillId="5" borderId="72" xfId="0" applyFont="1" applyFill="1" applyBorder="1" applyAlignment="1">
      <alignment horizontal="center" vertical="center"/>
    </xf>
    <xf numFmtId="0" fontId="38" fillId="5" borderId="73" xfId="0" applyFont="1" applyFill="1" applyBorder="1" applyAlignment="1">
      <alignment horizontal="center" vertical="center"/>
    </xf>
    <xf numFmtId="0" fontId="17" fillId="20" borderId="40" xfId="0" applyFont="1" applyFill="1" applyBorder="1" applyAlignment="1">
      <alignment horizontal="center" vertical="center" shrinkToFit="1"/>
    </xf>
    <xf numFmtId="0" fontId="38" fillId="20" borderId="37" xfId="0" applyFont="1" applyFill="1" applyBorder="1" applyAlignment="1">
      <alignment horizontal="center" vertical="center"/>
    </xf>
    <xf numFmtId="0" fontId="38" fillId="20" borderId="38"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3" borderId="77" xfId="0" applyFont="1" applyFill="1" applyBorder="1" applyAlignment="1">
      <alignment horizontal="center" vertical="center" wrapText="1"/>
    </xf>
    <xf numFmtId="0" fontId="4" fillId="22" borderId="63" xfId="0" applyFont="1" applyFill="1" applyBorder="1" applyAlignment="1">
      <alignment horizontal="center" vertical="center" wrapText="1"/>
    </xf>
    <xf numFmtId="0" fontId="4" fillId="0" borderId="59" xfId="0" applyFont="1" applyFill="1" applyBorder="1" applyAlignment="1">
      <alignment horizontal="center" vertical="center" wrapText="1" shrinkToFit="1"/>
    </xf>
    <xf numFmtId="0" fontId="3" fillId="0" borderId="27"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25" xfId="0" applyFont="1" applyFill="1" applyBorder="1" applyAlignment="1">
      <alignment horizontal="center" vertical="center"/>
    </xf>
    <xf numFmtId="0" fontId="38" fillId="5" borderId="62" xfId="0" applyFont="1" applyFill="1" applyBorder="1" applyAlignment="1">
      <alignment horizontal="center" vertical="center"/>
    </xf>
    <xf numFmtId="0" fontId="38" fillId="5" borderId="77" xfId="0" applyFont="1" applyFill="1" applyBorder="1" applyAlignment="1">
      <alignment horizontal="center" vertical="center"/>
    </xf>
    <xf numFmtId="0" fontId="38" fillId="5" borderId="63" xfId="0" applyFont="1" applyFill="1" applyBorder="1" applyAlignment="1">
      <alignment horizontal="center" vertical="center"/>
    </xf>
    <xf numFmtId="0" fontId="3" fillId="7" borderId="9" xfId="0" applyFont="1" applyFill="1" applyBorder="1" applyAlignment="1">
      <alignment horizontal="center" vertical="center"/>
    </xf>
    <xf numFmtId="0" fontId="3" fillId="8" borderId="78" xfId="0" applyFont="1" applyFill="1" applyBorder="1" applyAlignment="1">
      <alignment horizontal="center" vertical="center"/>
    </xf>
    <xf numFmtId="0" fontId="29" fillId="5" borderId="60" xfId="0" applyFont="1" applyFill="1" applyBorder="1" applyAlignment="1">
      <alignment horizontal="center" vertical="center" wrapText="1" shrinkToFit="1"/>
    </xf>
    <xf numFmtId="0" fontId="38" fillId="0" borderId="2" xfId="0" applyFont="1" applyFill="1" applyBorder="1" applyAlignment="1">
      <alignment horizontal="center" vertical="center"/>
    </xf>
    <xf numFmtId="0" fontId="38" fillId="0" borderId="9" xfId="0" applyFont="1" applyFill="1" applyBorder="1" applyAlignment="1">
      <alignment horizontal="center" vertical="center"/>
    </xf>
    <xf numFmtId="0" fontId="38" fillId="0" borderId="64" xfId="0" applyFont="1" applyFill="1" applyBorder="1" applyAlignment="1">
      <alignment horizontal="center" vertical="center"/>
    </xf>
    <xf numFmtId="0" fontId="19" fillId="5" borderId="20" xfId="0" applyFont="1" applyFill="1" applyBorder="1" applyAlignment="1">
      <alignment horizontal="center" vertical="center" wrapText="1" shrinkToFit="1"/>
    </xf>
    <xf numFmtId="0" fontId="3" fillId="5" borderId="2"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64" xfId="0" applyFont="1" applyFill="1" applyBorder="1" applyAlignment="1">
      <alignment horizontal="center" vertical="center"/>
    </xf>
    <xf numFmtId="0" fontId="38" fillId="0" borderId="20" xfId="0" applyFont="1" applyFill="1" applyBorder="1" applyAlignment="1">
      <alignment horizontal="center" vertical="center" wrapText="1" shrinkToFit="1"/>
    </xf>
    <xf numFmtId="0" fontId="4" fillId="15" borderId="80" xfId="0" applyFont="1" applyFill="1" applyBorder="1" applyAlignment="1">
      <alignment horizontal="center" vertical="center" wrapText="1"/>
    </xf>
    <xf numFmtId="0" fontId="10" fillId="7" borderId="81" xfId="0" applyFont="1" applyFill="1" applyBorder="1" applyAlignment="1">
      <alignment horizontal="center" vertical="center" wrapText="1"/>
    </xf>
    <xf numFmtId="0" fontId="2" fillId="5" borderId="1"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19" fillId="5" borderId="60" xfId="0" applyFont="1" applyFill="1" applyBorder="1" applyAlignment="1">
      <alignment horizontal="center" vertical="center" wrapText="1" shrinkToFit="1"/>
    </xf>
    <xf numFmtId="0" fontId="3" fillId="5" borderId="62" xfId="0" applyFont="1" applyFill="1" applyBorder="1" applyAlignment="1">
      <alignment horizontal="center" vertical="center"/>
    </xf>
    <xf numFmtId="0" fontId="3" fillId="5" borderId="63" xfId="0" applyFont="1" applyFill="1" applyBorder="1" applyAlignment="1">
      <alignment horizontal="center" vertical="center"/>
    </xf>
    <xf numFmtId="0" fontId="16" fillId="0" borderId="7" xfId="0" applyFont="1" applyBorder="1" applyAlignment="1">
      <alignment horizontal="left" vertical="center"/>
    </xf>
    <xf numFmtId="0" fontId="4" fillId="5" borderId="19" xfId="0" applyFont="1" applyFill="1" applyBorder="1" applyAlignment="1">
      <alignment horizontal="center" vertical="center" wrapText="1"/>
    </xf>
    <xf numFmtId="0" fontId="10" fillId="10" borderId="83" xfId="0" applyFont="1" applyFill="1" applyBorder="1" applyAlignment="1">
      <alignment horizontal="center" vertical="center" shrinkToFit="1"/>
    </xf>
    <xf numFmtId="0" fontId="38" fillId="5" borderId="27" xfId="0" applyFont="1" applyFill="1" applyBorder="1" applyAlignment="1">
      <alignment horizontal="center" vertical="center"/>
    </xf>
    <xf numFmtId="0" fontId="38" fillId="5" borderId="25" xfId="0" applyFont="1" applyFill="1" applyBorder="1" applyAlignment="1">
      <alignment horizontal="center" vertical="center"/>
    </xf>
    <xf numFmtId="0" fontId="4" fillId="0" borderId="20"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9" xfId="0" applyFont="1" applyFill="1" applyBorder="1" applyAlignment="1">
      <alignment horizontal="center" vertical="center"/>
    </xf>
    <xf numFmtId="0" fontId="38" fillId="5" borderId="2" xfId="0" applyFont="1" applyFill="1" applyBorder="1" applyAlignment="1">
      <alignment horizontal="center" vertical="center"/>
    </xf>
    <xf numFmtId="0" fontId="38" fillId="5" borderId="64" xfId="0" applyFont="1" applyFill="1" applyBorder="1" applyAlignment="1">
      <alignment horizontal="center" vertical="center"/>
    </xf>
    <xf numFmtId="0" fontId="34" fillId="19" borderId="20" xfId="0" applyFont="1" applyFill="1" applyBorder="1" applyAlignment="1">
      <alignment horizontal="center" vertical="center" shrinkToFit="1"/>
    </xf>
    <xf numFmtId="0" fontId="10" fillId="10" borderId="86" xfId="0" applyFont="1" applyFill="1" applyBorder="1" applyAlignment="1">
      <alignment horizontal="center" vertical="center" shrinkToFit="1"/>
    </xf>
    <xf numFmtId="0" fontId="5" fillId="4" borderId="87" xfId="0" applyFont="1" applyFill="1" applyBorder="1" applyAlignment="1">
      <alignment horizontal="center" vertical="center" shrinkToFit="1"/>
    </xf>
    <xf numFmtId="0" fontId="3" fillId="7" borderId="1" xfId="0" applyFont="1" applyFill="1" applyBorder="1" applyAlignment="1">
      <alignment horizontal="center" vertical="center"/>
    </xf>
    <xf numFmtId="0" fontId="3" fillId="7" borderId="13" xfId="0" applyFont="1" applyFill="1" applyBorder="1" applyAlignment="1">
      <alignment horizontal="center" vertical="center"/>
    </xf>
    <xf numFmtId="0" fontId="3" fillId="7" borderId="85" xfId="0" applyFont="1" applyFill="1" applyBorder="1" applyAlignment="1">
      <alignment horizontal="center" vertical="center"/>
    </xf>
    <xf numFmtId="0" fontId="5" fillId="2" borderId="87" xfId="0" applyFont="1" applyFill="1" applyBorder="1" applyAlignment="1">
      <alignment horizontal="center" vertical="center" shrinkToFit="1"/>
    </xf>
    <xf numFmtId="0" fontId="10" fillId="8" borderId="88" xfId="0" applyFont="1" applyFill="1" applyBorder="1" applyAlignment="1">
      <alignment horizontal="center" vertical="center" wrapText="1"/>
    </xf>
    <xf numFmtId="0" fontId="3" fillId="8" borderId="1" xfId="0" applyFont="1" applyFill="1" applyBorder="1" applyAlignment="1">
      <alignment horizontal="center" vertical="center"/>
    </xf>
    <xf numFmtId="0" fontId="3" fillId="8" borderId="13" xfId="0" applyFont="1" applyFill="1" applyBorder="1" applyAlignment="1">
      <alignment horizontal="center" vertical="center"/>
    </xf>
    <xf numFmtId="0" fontId="3" fillId="8" borderId="85" xfId="0" applyFont="1" applyFill="1" applyBorder="1" applyAlignment="1">
      <alignment horizontal="center" vertical="center"/>
    </xf>
    <xf numFmtId="0" fontId="3" fillId="0" borderId="59" xfId="0" applyFont="1" applyFill="1" applyBorder="1" applyAlignment="1">
      <alignment horizontal="center" vertical="center" wrapText="1"/>
    </xf>
    <xf numFmtId="0" fontId="37" fillId="5" borderId="60" xfId="0" applyFont="1" applyFill="1" applyBorder="1" applyAlignment="1">
      <alignment horizontal="center" vertical="center" wrapText="1" shrinkToFit="1"/>
    </xf>
    <xf numFmtId="0" fontId="0" fillId="0" borderId="0" xfId="0" applyBorder="1">
      <alignment vertical="center"/>
    </xf>
    <xf numFmtId="0" fontId="45" fillId="0" borderId="90" xfId="0" applyFont="1" applyBorder="1" applyAlignment="1">
      <alignment horizontal="center" vertical="center"/>
    </xf>
    <xf numFmtId="0" fontId="45" fillId="24" borderId="90" xfId="0" applyFont="1" applyFill="1" applyBorder="1" applyAlignment="1">
      <alignment horizontal="center" vertical="center"/>
    </xf>
    <xf numFmtId="0" fontId="43" fillId="0" borderId="90" xfId="0" applyFont="1" applyBorder="1" applyAlignment="1">
      <alignment horizontal="center" vertical="center"/>
    </xf>
    <xf numFmtId="0" fontId="43" fillId="0" borderId="91" xfId="0" applyFont="1" applyBorder="1" applyAlignment="1">
      <alignment horizontal="center" vertical="center"/>
    </xf>
    <xf numFmtId="0" fontId="45" fillId="0" borderId="101" xfId="0" applyFont="1" applyBorder="1" applyAlignment="1">
      <alignment horizontal="center" vertical="center"/>
    </xf>
    <xf numFmtId="0" fontId="45" fillId="24" borderId="101" xfId="0" applyFont="1" applyFill="1" applyBorder="1" applyAlignment="1">
      <alignment horizontal="center" vertical="center"/>
    </xf>
    <xf numFmtId="0" fontId="43" fillId="0" borderId="101" xfId="0" applyFont="1" applyBorder="1" applyAlignment="1">
      <alignment horizontal="center" vertical="center"/>
    </xf>
    <xf numFmtId="0" fontId="43" fillId="0" borderId="102" xfId="0" applyFont="1" applyBorder="1" applyAlignment="1">
      <alignment horizontal="center" vertical="center"/>
    </xf>
    <xf numFmtId="0" fontId="45" fillId="0" borderId="95" xfId="0" applyFont="1" applyBorder="1" applyAlignment="1">
      <alignment horizontal="center" vertical="center"/>
    </xf>
    <xf numFmtId="0" fontId="45" fillId="24" borderId="95" xfId="0" applyFont="1" applyFill="1" applyBorder="1" applyAlignment="1">
      <alignment horizontal="center" vertical="center"/>
    </xf>
    <xf numFmtId="0" fontId="43" fillId="0" borderId="95" xfId="0" applyFont="1" applyBorder="1" applyAlignment="1">
      <alignment horizontal="center" vertical="center"/>
    </xf>
    <xf numFmtId="0" fontId="45" fillId="0" borderId="104" xfId="0" applyFont="1" applyBorder="1" applyAlignment="1">
      <alignment horizontal="center" vertical="center"/>
    </xf>
    <xf numFmtId="0" fontId="46" fillId="0" borderId="1" xfId="0" applyFont="1" applyBorder="1" applyAlignment="1">
      <alignment horizontal="center" vertical="center"/>
    </xf>
    <xf numFmtId="0" fontId="14" fillId="0" borderId="0" xfId="1" applyFont="1">
      <alignment vertical="center"/>
    </xf>
    <xf numFmtId="0" fontId="0" fillId="0" borderId="0" xfId="1" applyFont="1">
      <alignment vertical="center"/>
    </xf>
    <xf numFmtId="0" fontId="0" fillId="0" borderId="0" xfId="0" applyAlignment="1">
      <alignment vertical="center" wrapText="1"/>
    </xf>
    <xf numFmtId="0" fontId="0" fillId="0" borderId="0" xfId="1" applyFont="1" applyAlignment="1">
      <alignment vertical="center"/>
    </xf>
    <xf numFmtId="0" fontId="50" fillId="18" borderId="1" xfId="2" applyFont="1" applyFill="1" applyBorder="1" applyAlignment="1">
      <alignment horizontal="center" vertical="center"/>
    </xf>
    <xf numFmtId="0" fontId="8" fillId="18" borderId="1" xfId="2" applyFont="1" applyFill="1" applyBorder="1" applyAlignment="1">
      <alignment horizontal="center" vertical="center"/>
    </xf>
    <xf numFmtId="0" fontId="7" fillId="18" borderId="1" xfId="2" applyFont="1" applyFill="1" applyBorder="1" applyAlignment="1">
      <alignment horizontal="center" vertical="center"/>
    </xf>
    <xf numFmtId="0" fontId="20" fillId="0" borderId="0" xfId="2" applyFont="1" applyAlignment="1">
      <alignment horizontal="left" vertical="center"/>
    </xf>
    <xf numFmtId="0" fontId="13" fillId="0" borderId="0" xfId="2" applyAlignment="1">
      <alignment horizontal="center" vertical="center"/>
    </xf>
    <xf numFmtId="0" fontId="13" fillId="0" borderId="0" xfId="2">
      <alignment vertical="center"/>
    </xf>
    <xf numFmtId="0" fontId="9" fillId="0" borderId="0" xfId="2" applyFont="1" applyAlignment="1">
      <alignment horizontal="left" vertical="center"/>
    </xf>
    <xf numFmtId="0" fontId="11" fillId="9" borderId="12" xfId="2" applyFont="1" applyFill="1" applyBorder="1" applyAlignment="1">
      <alignment horizontal="center" vertical="center" shrinkToFit="1"/>
    </xf>
    <xf numFmtId="0" fontId="24" fillId="9" borderId="1" xfId="2" applyFont="1" applyFill="1" applyBorder="1" applyAlignment="1">
      <alignment horizontal="center" vertical="center" shrinkToFit="1"/>
    </xf>
    <xf numFmtId="0" fontId="13" fillId="9" borderId="1" xfId="2" applyFill="1" applyBorder="1" applyAlignment="1">
      <alignment horizontal="center" vertical="center"/>
    </xf>
    <xf numFmtId="0" fontId="20" fillId="5" borderId="1" xfId="2" applyFont="1" applyFill="1" applyBorder="1" applyAlignment="1">
      <alignment horizontal="center" vertical="center"/>
    </xf>
    <xf numFmtId="0" fontId="20" fillId="0" borderId="0" xfId="3" applyFont="1">
      <alignment vertical="center"/>
    </xf>
    <xf numFmtId="0" fontId="9" fillId="9" borderId="19" xfId="2" applyFont="1" applyFill="1" applyBorder="1" applyAlignment="1">
      <alignment horizontal="center" vertical="center" shrinkToFit="1"/>
    </xf>
    <xf numFmtId="0" fontId="2" fillId="5" borderId="1" xfId="3" applyFont="1" applyFill="1" applyBorder="1" applyAlignment="1">
      <alignment horizontal="center" vertical="center"/>
    </xf>
    <xf numFmtId="0" fontId="13" fillId="0" borderId="1" xfId="2" applyBorder="1" applyAlignment="1">
      <alignment horizontal="center" vertical="center"/>
    </xf>
    <xf numFmtId="0" fontId="48" fillId="14" borderId="1" xfId="3" applyFill="1" applyBorder="1" applyAlignment="1">
      <alignment horizontal="center" vertical="center"/>
    </xf>
    <xf numFmtId="0" fontId="13" fillId="9" borderId="12" xfId="2" applyFill="1" applyBorder="1" applyAlignment="1">
      <alignment horizontal="center" vertical="center"/>
    </xf>
    <xf numFmtId="0" fontId="16" fillId="0" borderId="1" xfId="2" applyFont="1" applyFill="1" applyBorder="1" applyAlignment="1">
      <alignment horizontal="center" vertical="center"/>
    </xf>
    <xf numFmtId="0" fontId="13" fillId="0" borderId="7" xfId="2" applyBorder="1" applyAlignment="1">
      <alignment vertical="center"/>
    </xf>
    <xf numFmtId="0" fontId="8" fillId="21" borderId="0" xfId="2" applyFont="1" applyFill="1" applyBorder="1" applyAlignment="1">
      <alignment horizontal="center" vertical="center"/>
    </xf>
    <xf numFmtId="0" fontId="8" fillId="0" borderId="0" xfId="2" applyFont="1" applyFill="1" applyBorder="1" applyAlignment="1">
      <alignment vertical="center"/>
    </xf>
    <xf numFmtId="0" fontId="8" fillId="0" borderId="8" xfId="2" applyFont="1" applyFill="1" applyBorder="1" applyAlignment="1">
      <alignment vertical="center"/>
    </xf>
    <xf numFmtId="0" fontId="48" fillId="9" borderId="1" xfId="3" applyFill="1" applyBorder="1" applyAlignment="1">
      <alignment horizontal="center" vertical="center"/>
    </xf>
    <xf numFmtId="0" fontId="48" fillId="0" borderId="1" xfId="3" applyBorder="1" applyAlignment="1">
      <alignment horizontal="center" vertical="center"/>
    </xf>
    <xf numFmtId="0" fontId="13" fillId="0" borderId="0" xfId="2" applyBorder="1" applyAlignment="1">
      <alignment horizontal="center" vertical="center"/>
    </xf>
    <xf numFmtId="0" fontId="13" fillId="0" borderId="0" xfId="2" applyBorder="1" applyAlignment="1">
      <alignment vertical="center"/>
    </xf>
    <xf numFmtId="0" fontId="13" fillId="0" borderId="8" xfId="2" applyBorder="1" applyAlignment="1">
      <alignment vertical="center"/>
    </xf>
    <xf numFmtId="0" fontId="13" fillId="0" borderId="7" xfId="2" applyBorder="1" applyAlignment="1">
      <alignment vertical="center" wrapText="1"/>
    </xf>
    <xf numFmtId="0" fontId="9" fillId="9" borderId="2" xfId="2" applyFont="1" applyFill="1" applyBorder="1" applyAlignment="1">
      <alignment horizontal="center" vertical="center" shrinkToFit="1"/>
    </xf>
    <xf numFmtId="0" fontId="16" fillId="0" borderId="0" xfId="2" applyFont="1" applyAlignment="1">
      <alignment horizontal="center" vertical="center"/>
    </xf>
    <xf numFmtId="0" fontId="16" fillId="0" borderId="0" xfId="2" applyFont="1">
      <alignment vertical="center"/>
    </xf>
    <xf numFmtId="0" fontId="13" fillId="0" borderId="0" xfId="2" applyFont="1" applyAlignment="1">
      <alignment horizontal="center" vertical="center"/>
    </xf>
    <xf numFmtId="0" fontId="13" fillId="0" borderId="0" xfId="2" applyFont="1">
      <alignment vertical="center"/>
    </xf>
    <xf numFmtId="0" fontId="50" fillId="18" borderId="1" xfId="2" applyFont="1" applyFill="1" applyBorder="1" applyAlignment="1">
      <alignment horizontal="center" vertical="center" shrinkToFit="1"/>
    </xf>
    <xf numFmtId="0" fontId="7" fillId="18" borderId="13" xfId="2" applyFont="1" applyFill="1" applyBorder="1" applyAlignment="1">
      <alignment horizontal="center" vertical="center" shrinkToFit="1"/>
    </xf>
    <xf numFmtId="0" fontId="8" fillId="18" borderId="1" xfId="2" applyFont="1" applyFill="1" applyBorder="1" applyAlignment="1">
      <alignment horizontal="center" vertical="center" shrinkToFit="1"/>
    </xf>
    <xf numFmtId="0" fontId="7" fillId="18" borderId="1" xfId="2" applyFont="1" applyFill="1" applyBorder="1" applyAlignment="1">
      <alignment horizontal="center" vertical="center" shrinkToFit="1"/>
    </xf>
    <xf numFmtId="0" fontId="48" fillId="0" borderId="0" xfId="4">
      <alignment vertical="center"/>
    </xf>
    <xf numFmtId="0" fontId="46" fillId="0" borderId="0" xfId="4" applyFont="1" applyAlignment="1">
      <alignment horizontal="center" vertical="center"/>
    </xf>
    <xf numFmtId="0" fontId="48" fillId="0" borderId="0" xfId="4" applyAlignment="1">
      <alignment horizontal="center" vertical="center" wrapText="1"/>
    </xf>
    <xf numFmtId="0" fontId="46" fillId="0" borderId="0" xfId="4" applyFont="1" applyAlignment="1">
      <alignment horizontal="center" vertical="center" wrapText="1"/>
    </xf>
    <xf numFmtId="0" fontId="48" fillId="0" borderId="0" xfId="4" applyAlignment="1">
      <alignment horizontal="center" vertical="center"/>
    </xf>
    <xf numFmtId="0" fontId="14" fillId="12" borderId="1" xfId="4" applyFont="1" applyFill="1" applyBorder="1" applyAlignment="1">
      <alignment horizontal="center" vertical="center"/>
    </xf>
    <xf numFmtId="0" fontId="14" fillId="12" borderId="86" xfId="4" applyFont="1" applyFill="1" applyBorder="1" applyAlignment="1">
      <alignment horizontal="center" vertical="center" wrapText="1"/>
    </xf>
    <xf numFmtId="0" fontId="36" fillId="24" borderId="87" xfId="4" applyFont="1" applyFill="1" applyBorder="1" applyAlignment="1">
      <alignment horizontal="center" vertical="center" wrapText="1"/>
    </xf>
    <xf numFmtId="0" fontId="36" fillId="24" borderId="105" xfId="4" applyFont="1" applyFill="1" applyBorder="1" applyAlignment="1">
      <alignment horizontal="center" vertical="center" wrapText="1"/>
    </xf>
    <xf numFmtId="0" fontId="36" fillId="24" borderId="105" xfId="4" applyFont="1" applyFill="1" applyBorder="1" applyAlignment="1">
      <alignment horizontal="center" vertical="center" textRotation="255" wrapText="1"/>
    </xf>
    <xf numFmtId="0" fontId="36" fillId="24" borderId="99" xfId="4" applyFont="1" applyFill="1" applyBorder="1" applyAlignment="1">
      <alignment horizontal="center" vertical="center" wrapText="1"/>
    </xf>
    <xf numFmtId="0" fontId="44" fillId="0" borderId="72" xfId="4" applyFont="1" applyFill="1" applyBorder="1" applyAlignment="1">
      <alignment horizontal="center" vertical="center"/>
    </xf>
    <xf numFmtId="0" fontId="47" fillId="0" borderId="72" xfId="4" applyFont="1" applyBorder="1">
      <alignment vertical="center"/>
    </xf>
    <xf numFmtId="0" fontId="45" fillId="0" borderId="104" xfId="4" applyFont="1" applyBorder="1" applyAlignment="1">
      <alignment horizontal="center" vertical="center"/>
    </xf>
    <xf numFmtId="0" fontId="45" fillId="24" borderId="101" xfId="4" applyFont="1" applyFill="1" applyBorder="1" applyAlignment="1">
      <alignment horizontal="center" vertical="center" wrapText="1"/>
    </xf>
    <xf numFmtId="0" fontId="51" fillId="24" borderId="104" xfId="4" applyFont="1" applyFill="1" applyBorder="1" applyAlignment="1">
      <alignment horizontal="center" vertical="center"/>
    </xf>
    <xf numFmtId="0" fontId="51" fillId="24" borderId="94" xfId="4" applyFont="1" applyFill="1" applyBorder="1" applyAlignment="1">
      <alignment horizontal="center" vertical="center"/>
    </xf>
    <xf numFmtId="0" fontId="45" fillId="0" borderId="94" xfId="4" applyFont="1" applyBorder="1" applyAlignment="1">
      <alignment horizontal="center" vertical="center"/>
    </xf>
    <xf numFmtId="0" fontId="47" fillId="0" borderId="103" xfId="4" applyFont="1" applyBorder="1">
      <alignment vertical="center"/>
    </xf>
    <xf numFmtId="0" fontId="45" fillId="0" borderId="102" xfId="4" applyFont="1" applyBorder="1" applyAlignment="1">
      <alignment horizontal="center" vertical="center"/>
    </xf>
    <xf numFmtId="0" fontId="51" fillId="24" borderId="102" xfId="4" applyFont="1" applyFill="1" applyBorder="1" applyAlignment="1">
      <alignment horizontal="center" vertical="center"/>
    </xf>
    <xf numFmtId="0" fontId="51" fillId="24" borderId="100" xfId="4" applyFont="1" applyFill="1" applyBorder="1" applyAlignment="1">
      <alignment horizontal="center" vertical="center"/>
    </xf>
    <xf numFmtId="0" fontId="45" fillId="0" borderId="100" xfId="4" applyFont="1" applyBorder="1" applyAlignment="1">
      <alignment horizontal="center" vertical="center"/>
    </xf>
    <xf numFmtId="0" fontId="52" fillId="0" borderId="72" xfId="4" applyFont="1" applyFill="1" applyBorder="1" applyAlignment="1">
      <alignment horizontal="center" vertical="center"/>
    </xf>
    <xf numFmtId="0" fontId="53" fillId="0" borderId="101" xfId="4" applyFont="1" applyBorder="1" applyAlignment="1">
      <alignment horizontal="center" vertical="center" wrapText="1"/>
    </xf>
    <xf numFmtId="0" fontId="17" fillId="0" borderId="0" xfId="4" applyFont="1">
      <alignment vertical="center"/>
    </xf>
    <xf numFmtId="0" fontId="44" fillId="0" borderId="2" xfId="4" applyFont="1" applyFill="1" applyBorder="1" applyAlignment="1">
      <alignment horizontal="center" vertical="center"/>
    </xf>
    <xf numFmtId="0" fontId="47" fillId="0" borderId="69" xfId="4" applyFont="1" applyBorder="1">
      <alignment vertical="center"/>
    </xf>
    <xf numFmtId="0" fontId="45" fillId="24" borderId="90" xfId="4" applyFont="1" applyFill="1" applyBorder="1" applyAlignment="1">
      <alignment horizontal="center" vertical="center" wrapText="1"/>
    </xf>
    <xf numFmtId="0" fontId="45" fillId="0" borderId="91" xfId="4" applyFont="1" applyBorder="1" applyAlignment="1">
      <alignment horizontal="center" vertical="center"/>
    </xf>
    <xf numFmtId="0" fontId="51" fillId="24" borderId="91" xfId="4" applyFont="1" applyFill="1" applyBorder="1" applyAlignment="1">
      <alignment horizontal="center" vertical="center"/>
    </xf>
    <xf numFmtId="0" fontId="51" fillId="24" borderId="89" xfId="4" applyFont="1" applyFill="1" applyBorder="1" applyAlignment="1">
      <alignment horizontal="center" vertical="center"/>
    </xf>
    <xf numFmtId="0" fontId="45" fillId="0" borderId="89" xfId="4" applyFont="1" applyBorder="1" applyAlignment="1">
      <alignment horizontal="center" vertical="center"/>
    </xf>
    <xf numFmtId="0" fontId="48" fillId="0" borderId="0" xfId="4" applyAlignment="1">
      <alignment vertical="center" wrapText="1"/>
    </xf>
    <xf numFmtId="0" fontId="13" fillId="12" borderId="9" xfId="4" applyFont="1" applyFill="1" applyBorder="1" applyAlignment="1">
      <alignment horizontal="center" vertical="center"/>
    </xf>
    <xf numFmtId="0" fontId="45" fillId="0" borderId="98" xfId="4" applyFont="1" applyBorder="1" applyAlignment="1">
      <alignment horizontal="center" vertical="center"/>
    </xf>
    <xf numFmtId="0" fontId="47" fillId="0" borderId="110" xfId="4" applyFont="1" applyBorder="1" applyAlignment="1">
      <alignment horizontal="center" vertical="center"/>
    </xf>
    <xf numFmtId="0" fontId="48" fillId="0" borderId="111" xfId="4" applyBorder="1" applyAlignment="1">
      <alignment horizontal="center" vertical="center"/>
    </xf>
    <xf numFmtId="0" fontId="52" fillId="0" borderId="2" xfId="4" applyFont="1" applyFill="1" applyBorder="1" applyAlignment="1">
      <alignment horizontal="center" vertical="center"/>
    </xf>
    <xf numFmtId="0" fontId="43" fillId="0" borderId="93" xfId="4" applyFont="1" applyBorder="1" applyAlignment="1">
      <alignment horizontal="center" vertical="center"/>
    </xf>
    <xf numFmtId="0" fontId="47" fillId="0" borderId="92" xfId="4" applyFont="1" applyBorder="1" applyAlignment="1">
      <alignment horizontal="center" vertical="center"/>
    </xf>
    <xf numFmtId="0" fontId="48" fillId="0" borderId="113" xfId="4" applyBorder="1" applyAlignment="1">
      <alignment horizontal="center" vertical="center"/>
    </xf>
    <xf numFmtId="0" fontId="45" fillId="24" borderId="101" xfId="0" applyFont="1" applyFill="1" applyBorder="1" applyAlignment="1">
      <alignment horizontal="center" vertical="center" wrapText="1"/>
    </xf>
    <xf numFmtId="0" fontId="53" fillId="0" borderId="101" xfId="0" applyFont="1" applyBorder="1" applyAlignment="1">
      <alignment horizontal="center" vertical="center" wrapText="1"/>
    </xf>
    <xf numFmtId="0" fontId="55" fillId="25" borderId="100" xfId="4" applyFont="1" applyFill="1" applyBorder="1" applyAlignment="1">
      <alignment horizontal="center" vertical="center"/>
    </xf>
    <xf numFmtId="0" fontId="56" fillId="25" borderId="100" xfId="4" applyFont="1" applyFill="1" applyBorder="1" applyAlignment="1">
      <alignment horizontal="center" vertical="center"/>
    </xf>
    <xf numFmtId="0" fontId="57" fillId="25" borderId="72" xfId="4" applyFont="1" applyFill="1" applyBorder="1" applyAlignment="1">
      <alignment horizontal="center" vertical="center"/>
    </xf>
    <xf numFmtId="0" fontId="7" fillId="25" borderId="103" xfId="4" applyFont="1" applyFill="1" applyBorder="1">
      <alignment vertical="center"/>
    </xf>
    <xf numFmtId="0" fontId="0" fillId="9" borderId="12"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7" fillId="13" borderId="13" xfId="0" applyFont="1" applyFill="1" applyBorder="1" applyAlignment="1">
      <alignment horizontal="center" vertical="center" shrinkToFit="1"/>
    </xf>
    <xf numFmtId="0" fontId="0" fillId="9" borderId="1" xfId="0" applyFill="1" applyBorder="1" applyAlignment="1">
      <alignment horizontal="center" vertical="center"/>
    </xf>
    <xf numFmtId="0" fontId="2" fillId="5" borderId="1" xfId="0" applyFont="1" applyFill="1" applyBorder="1" applyAlignment="1">
      <alignment horizontal="center" vertical="center"/>
    </xf>
    <xf numFmtId="0" fontId="29" fillId="0" borderId="103" xfId="4" applyFont="1" applyBorder="1">
      <alignment vertical="center"/>
    </xf>
    <xf numFmtId="0" fontId="2" fillId="5" borderId="1"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0" fillId="9" borderId="12"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7" fillId="17" borderId="13" xfId="0" applyFont="1" applyFill="1" applyBorder="1" applyAlignment="1">
      <alignment horizontal="center" vertical="center" shrinkToFit="1"/>
    </xf>
    <xf numFmtId="0" fontId="59" fillId="26" borderId="1" xfId="0" applyFont="1" applyFill="1" applyBorder="1" applyAlignment="1">
      <alignment horizontal="center" vertical="center"/>
    </xf>
    <xf numFmtId="0" fontId="27" fillId="0" borderId="0" xfId="0" applyFont="1" applyAlignment="1">
      <alignment horizontal="center" vertical="center"/>
    </xf>
    <xf numFmtId="0" fontId="27" fillId="0" borderId="0" xfId="0" applyFont="1">
      <alignment vertical="center"/>
    </xf>
    <xf numFmtId="0" fontId="2" fillId="5" borderId="1"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0" fillId="9" borderId="12" xfId="0" applyFill="1" applyBorder="1" applyAlignment="1">
      <alignment horizontal="center" vertical="center"/>
    </xf>
    <xf numFmtId="0" fontId="7" fillId="17" borderId="13" xfId="0" applyFont="1" applyFill="1" applyBorder="1" applyAlignment="1">
      <alignment horizontal="center" vertical="center" shrinkToFit="1"/>
    </xf>
    <xf numFmtId="0" fontId="0" fillId="9" borderId="12"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7" fillId="13" borderId="13" xfId="0" applyFont="1" applyFill="1" applyBorder="1" applyAlignment="1">
      <alignment horizontal="center" vertical="center" shrinkToFit="1"/>
    </xf>
    <xf numFmtId="0" fontId="0" fillId="9" borderId="12"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7" fillId="13" borderId="13" xfId="0" applyFont="1" applyFill="1" applyBorder="1" applyAlignment="1">
      <alignment horizontal="center" vertical="center" shrinkToFit="1"/>
    </xf>
    <xf numFmtId="0" fontId="2" fillId="5" borderId="1" xfId="0" applyFont="1" applyFill="1" applyBorder="1" applyAlignment="1">
      <alignment horizontal="center"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61" fillId="9" borderId="1" xfId="0" applyFont="1" applyFill="1" applyBorder="1" applyAlignment="1">
      <alignment horizontal="center" vertical="center"/>
    </xf>
    <xf numFmtId="0" fontId="10" fillId="8" borderId="61" xfId="0" applyFont="1" applyFill="1" applyBorder="1" applyAlignment="1">
      <alignment horizontal="center" vertical="center" wrapText="1"/>
    </xf>
    <xf numFmtId="0" fontId="3" fillId="8" borderId="62" xfId="0" applyFont="1" applyFill="1" applyBorder="1" applyAlignment="1">
      <alignment horizontal="center" vertical="center"/>
    </xf>
    <xf numFmtId="0" fontId="3" fillId="8" borderId="63" xfId="0" applyFont="1" applyFill="1" applyBorder="1" applyAlignment="1">
      <alignment horizontal="center" vertical="center"/>
    </xf>
    <xf numFmtId="0" fontId="0" fillId="9" borderId="2" xfId="0" applyFill="1" applyBorder="1" applyAlignment="1">
      <alignment horizontal="center" vertical="center"/>
    </xf>
    <xf numFmtId="0" fontId="0" fillId="9" borderId="1" xfId="0" applyFill="1"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23" fillId="2" borderId="60" xfId="0" applyFont="1" applyFill="1" applyBorder="1" applyAlignment="1">
      <alignment horizontal="center" vertical="center" shrinkToFit="1"/>
    </xf>
    <xf numFmtId="0" fontId="59" fillId="19" borderId="1" xfId="0" applyFont="1" applyFill="1" applyBorder="1" applyAlignment="1">
      <alignment horizontal="center" vertical="center"/>
    </xf>
    <xf numFmtId="0" fontId="14" fillId="0" borderId="65" xfId="0" applyFont="1" applyBorder="1" applyAlignment="1">
      <alignment horizontal="left" vertical="center"/>
    </xf>
    <xf numFmtId="0" fontId="14" fillId="0" borderId="0" xfId="0" applyFont="1" applyBorder="1" applyAlignment="1">
      <alignment horizontal="left" vertical="center"/>
    </xf>
    <xf numFmtId="0" fontId="14" fillId="0" borderId="79" xfId="0" applyFont="1" applyBorder="1" applyAlignment="1">
      <alignment horizontal="left" vertical="center"/>
    </xf>
    <xf numFmtId="0" fontId="0" fillId="0" borderId="65" xfId="0" applyBorder="1" applyAlignment="1">
      <alignment horizontal="left" vertical="center"/>
    </xf>
    <xf numFmtId="0" fontId="0" fillId="0" borderId="0" xfId="0" applyBorder="1" applyAlignment="1">
      <alignment horizontal="left" vertical="center"/>
    </xf>
    <xf numFmtId="0" fontId="0" fillId="0" borderId="79" xfId="0" applyBorder="1" applyAlignment="1">
      <alignment horizontal="left" vertical="center"/>
    </xf>
    <xf numFmtId="0" fontId="13" fillId="0" borderId="65" xfId="0" applyFont="1" applyBorder="1" applyAlignment="1">
      <alignment horizontal="left" vertical="center"/>
    </xf>
    <xf numFmtId="0" fontId="13" fillId="0" borderId="0" xfId="0" applyFont="1" applyBorder="1" applyAlignment="1">
      <alignment horizontal="left" vertical="center"/>
    </xf>
    <xf numFmtId="0" fontId="13" fillId="0" borderId="79" xfId="0" applyFont="1" applyBorder="1" applyAlignment="1">
      <alignment horizontal="left" vertical="center"/>
    </xf>
    <xf numFmtId="0" fontId="0" fillId="0" borderId="0" xfId="0" applyAlignment="1">
      <alignment horizontal="left" vertical="center"/>
    </xf>
    <xf numFmtId="0" fontId="13" fillId="0" borderId="36" xfId="0" applyFont="1" applyBorder="1" applyAlignment="1">
      <alignment horizontal="left" vertical="center"/>
    </xf>
    <xf numFmtId="0" fontId="13" fillId="0" borderId="56" xfId="0" applyFont="1" applyBorder="1" applyAlignment="1">
      <alignment horizontal="left" vertical="center"/>
    </xf>
    <xf numFmtId="0" fontId="13" fillId="0" borderId="57" xfId="0" applyFont="1" applyBorder="1" applyAlignment="1">
      <alignment horizontal="left" vertical="center"/>
    </xf>
    <xf numFmtId="0" fontId="13" fillId="0" borderId="0" xfId="0" applyFont="1" applyAlignment="1">
      <alignment horizontal="left" vertical="center"/>
    </xf>
    <xf numFmtId="0" fontId="9" fillId="0" borderId="31" xfId="0" applyFont="1" applyBorder="1" applyAlignment="1">
      <alignment horizontal="left" vertical="center"/>
    </xf>
    <xf numFmtId="0" fontId="9" fillId="0" borderId="54" xfId="0" applyFont="1" applyBorder="1" applyAlignment="1">
      <alignment horizontal="left" vertical="center"/>
    </xf>
    <xf numFmtId="0" fontId="9" fillId="0" borderId="55" xfId="0" applyFont="1" applyBorder="1" applyAlignment="1">
      <alignment horizontal="left" vertical="center"/>
    </xf>
    <xf numFmtId="0" fontId="39" fillId="0" borderId="0" xfId="0" applyFont="1" applyBorder="1" applyAlignment="1">
      <alignment horizontal="left" vertical="center"/>
    </xf>
    <xf numFmtId="0" fontId="14" fillId="0" borderId="31" xfId="0" applyFont="1" applyBorder="1" applyAlignment="1">
      <alignment horizontal="left" vertical="center"/>
    </xf>
    <xf numFmtId="0" fontId="14" fillId="0" borderId="54" xfId="0" applyFont="1" applyBorder="1" applyAlignment="1">
      <alignment horizontal="left" vertical="center"/>
    </xf>
    <xf numFmtId="0" fontId="14" fillId="0" borderId="55" xfId="0" applyFont="1" applyBorder="1" applyAlignment="1">
      <alignment horizontal="left" vertical="center"/>
    </xf>
    <xf numFmtId="0" fontId="0" fillId="9" borderId="12" xfId="0" applyFill="1" applyBorder="1" applyAlignment="1">
      <alignment horizontal="center" vertical="center"/>
    </xf>
    <xf numFmtId="0" fontId="0" fillId="9" borderId="2" xfId="0" applyFill="1" applyBorder="1" applyAlignment="1">
      <alignment horizontal="center" vertical="center"/>
    </xf>
    <xf numFmtId="0" fontId="0" fillId="9" borderId="13" xfId="0" applyFill="1" applyBorder="1" applyAlignment="1">
      <alignment horizontal="center" vertic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56" fontId="20" fillId="5" borderId="1" xfId="0" quotePrefix="1" applyNumberFormat="1" applyFont="1" applyFill="1" applyBorder="1" applyAlignment="1">
      <alignment horizontal="center" vertical="center"/>
    </xf>
    <xf numFmtId="0" fontId="20" fillId="5" borderId="1" xfId="0" applyFont="1" applyFill="1" applyBorder="1" applyAlignment="1">
      <alignment horizontal="center" vertical="center"/>
    </xf>
    <xf numFmtId="0" fontId="0" fillId="9" borderId="1" xfId="0"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2" fillId="5" borderId="1" xfId="0" applyFont="1" applyFill="1" applyBorder="1" applyAlignment="1">
      <alignment horizontal="center" vertical="center"/>
    </xf>
    <xf numFmtId="0" fontId="2" fillId="5" borderId="13" xfId="0" applyFont="1" applyFill="1" applyBorder="1" applyAlignment="1">
      <alignment horizontal="center" vertical="center" shrinkToFit="1"/>
    </xf>
    <xf numFmtId="0" fontId="2" fillId="5" borderId="14" xfId="0" applyFont="1" applyFill="1" applyBorder="1" applyAlignment="1">
      <alignment horizontal="center" vertical="center" shrinkToFit="1"/>
    </xf>
    <xf numFmtId="0" fontId="2" fillId="5" borderId="15" xfId="0" applyFont="1" applyFill="1" applyBorder="1" applyAlignment="1">
      <alignment horizontal="center" vertical="center" shrinkToFit="1"/>
    </xf>
    <xf numFmtId="0" fontId="9" fillId="5" borderId="16" xfId="0" applyFont="1" applyFill="1" applyBorder="1" applyAlignment="1">
      <alignment horizontal="center" vertical="center"/>
    </xf>
    <xf numFmtId="0" fontId="9" fillId="5" borderId="18" xfId="0" applyFont="1" applyFill="1" applyBorder="1" applyAlignment="1">
      <alignment horizontal="center" vertical="center"/>
    </xf>
    <xf numFmtId="0" fontId="47" fillId="0" borderId="97" xfId="4" applyFont="1" applyBorder="1" applyAlignment="1">
      <alignment horizontal="center" vertical="center"/>
    </xf>
    <xf numFmtId="0" fontId="47" fillId="0" borderId="96" xfId="4" applyFont="1" applyBorder="1" applyAlignment="1">
      <alignment horizontal="center" vertical="center"/>
    </xf>
    <xf numFmtId="0" fontId="47" fillId="0" borderId="35" xfId="4" applyFont="1" applyBorder="1" applyAlignment="1">
      <alignment horizontal="center" vertical="center" wrapText="1"/>
    </xf>
    <xf numFmtId="0" fontId="47" fillId="0" borderId="109" xfId="4" applyFont="1" applyBorder="1" applyAlignment="1">
      <alignment horizontal="center" vertical="center" wrapText="1"/>
    </xf>
    <xf numFmtId="0" fontId="39" fillId="24" borderId="97" xfId="4" applyFont="1" applyFill="1" applyBorder="1" applyAlignment="1">
      <alignment horizontal="center" vertical="center"/>
    </xf>
    <xf numFmtId="0" fontId="39" fillId="24" borderId="96" xfId="4" applyFont="1" applyFill="1" applyBorder="1" applyAlignment="1">
      <alignment horizontal="center" vertical="center"/>
    </xf>
    <xf numFmtId="0" fontId="48" fillId="24" borderId="35" xfId="4" applyFill="1" applyBorder="1" applyAlignment="1">
      <alignment horizontal="center" vertical="center"/>
    </xf>
    <xf numFmtId="0" fontId="48" fillId="24" borderId="96" xfId="4" applyFill="1" applyBorder="1" applyAlignment="1">
      <alignment horizontal="center" vertical="center"/>
    </xf>
    <xf numFmtId="0" fontId="48" fillId="24" borderId="109" xfId="4" applyFill="1" applyBorder="1" applyAlignment="1">
      <alignment horizontal="center" vertical="center"/>
    </xf>
    <xf numFmtId="0" fontId="47" fillId="0" borderId="92" xfId="4" applyFont="1" applyBorder="1" applyAlignment="1">
      <alignment horizontal="center" vertical="center"/>
    </xf>
    <xf numFmtId="0" fontId="47" fillId="0" borderId="91" xfId="4" applyFont="1" applyBorder="1" applyAlignment="1">
      <alignment horizontal="center" vertical="center"/>
    </xf>
    <xf numFmtId="0" fontId="47" fillId="0" borderId="112" xfId="4" applyFont="1" applyBorder="1" applyAlignment="1">
      <alignment horizontal="center" vertical="center" wrapText="1"/>
    </xf>
    <xf numFmtId="0" fontId="47" fillId="0" borderId="113" xfId="4" applyFont="1" applyBorder="1" applyAlignment="1">
      <alignment horizontal="center" vertical="center" wrapText="1"/>
    </xf>
    <xf numFmtId="0" fontId="39" fillId="24" borderId="92" xfId="4" applyFont="1" applyFill="1" applyBorder="1" applyAlignment="1">
      <alignment horizontal="center" vertical="center"/>
    </xf>
    <xf numFmtId="0" fontId="39" fillId="24" borderId="91" xfId="4" applyFont="1" applyFill="1" applyBorder="1" applyAlignment="1">
      <alignment horizontal="center" vertical="center"/>
    </xf>
    <xf numFmtId="0" fontId="48" fillId="24" borderId="112" xfId="4" applyFill="1" applyBorder="1" applyAlignment="1">
      <alignment horizontal="center" vertical="center"/>
    </xf>
    <xf numFmtId="0" fontId="48" fillId="24" borderId="91" xfId="4" applyFill="1" applyBorder="1" applyAlignment="1">
      <alignment horizontal="center" vertical="center"/>
    </xf>
    <xf numFmtId="0" fontId="48" fillId="24" borderId="113" xfId="4" applyFill="1" applyBorder="1" applyAlignment="1">
      <alignment horizontal="center" vertical="center"/>
    </xf>
    <xf numFmtId="0" fontId="46" fillId="0" borderId="0" xfId="4" applyFont="1" applyAlignment="1">
      <alignment horizontal="center" vertical="center"/>
    </xf>
    <xf numFmtId="0" fontId="39" fillId="12" borderId="1" xfId="4" applyFont="1" applyFill="1" applyBorder="1" applyAlignment="1">
      <alignment horizontal="center" vertical="center"/>
    </xf>
    <xf numFmtId="0" fontId="14" fillId="12" borderId="1" xfId="4" applyFont="1" applyFill="1" applyBorder="1" applyAlignment="1">
      <alignment horizontal="center" vertical="center" wrapText="1"/>
    </xf>
    <xf numFmtId="0" fontId="14" fillId="12" borderId="4" xfId="4" applyFont="1" applyFill="1" applyBorder="1" applyAlignment="1">
      <alignment horizontal="center" vertical="center" wrapText="1"/>
    </xf>
    <xf numFmtId="0" fontId="14" fillId="12" borderId="5" xfId="4" applyFont="1" applyFill="1" applyBorder="1" applyAlignment="1">
      <alignment horizontal="center" vertical="center" wrapText="1"/>
    </xf>
    <xf numFmtId="0" fontId="14" fillId="12" borderId="6" xfId="4" applyFont="1" applyFill="1" applyBorder="1" applyAlignment="1">
      <alignment horizontal="center" vertical="center" wrapText="1"/>
    </xf>
    <xf numFmtId="0" fontId="34" fillId="25" borderId="12" xfId="4" applyFont="1" applyFill="1" applyBorder="1" applyAlignment="1">
      <alignment horizontal="center" vertical="center" wrapText="1"/>
    </xf>
    <xf numFmtId="0" fontId="34" fillId="25" borderId="2" xfId="4" applyFont="1" applyFill="1" applyBorder="1" applyAlignment="1">
      <alignment horizontal="center" vertical="center" wrapText="1"/>
    </xf>
    <xf numFmtId="0" fontId="54" fillId="24" borderId="13" xfId="4" applyFont="1" applyFill="1" applyBorder="1" applyAlignment="1">
      <alignment horizontal="center" vertical="center"/>
    </xf>
    <xf numFmtId="0" fontId="54" fillId="24" borderId="105" xfId="4" applyFont="1" applyFill="1" applyBorder="1" applyAlignment="1">
      <alignment horizontal="center" vertical="center"/>
    </xf>
    <xf numFmtId="0" fontId="54" fillId="24" borderId="88" xfId="4" applyFont="1" applyFill="1" applyBorder="1" applyAlignment="1">
      <alignment horizontal="center" vertical="center"/>
    </xf>
    <xf numFmtId="0" fontId="54" fillId="24" borderId="15" xfId="4" applyFont="1" applyFill="1" applyBorder="1" applyAlignment="1">
      <alignment horizontal="center" vertical="center"/>
    </xf>
    <xf numFmtId="0" fontId="46" fillId="0" borderId="0" xfId="0" applyFont="1" applyAlignment="1">
      <alignment horizontal="center" vertical="center"/>
    </xf>
    <xf numFmtId="0" fontId="14" fillId="12" borderId="1" xfId="4" applyFont="1" applyFill="1" applyBorder="1" applyAlignment="1">
      <alignment horizontal="center" vertical="center"/>
    </xf>
    <xf numFmtId="0" fontId="47" fillId="12" borderId="1" xfId="0" applyFont="1" applyFill="1" applyBorder="1" applyAlignment="1">
      <alignment horizontal="center" vertical="center"/>
    </xf>
    <xf numFmtId="0" fontId="14" fillId="12" borderId="4" xfId="4" applyFont="1" applyFill="1" applyBorder="1" applyAlignment="1">
      <alignment horizontal="center" vertical="center"/>
    </xf>
    <xf numFmtId="0" fontId="14" fillId="12" borderId="5" xfId="4" applyFont="1" applyFill="1" applyBorder="1" applyAlignment="1">
      <alignment horizontal="center" vertical="center"/>
    </xf>
    <xf numFmtId="0" fontId="14" fillId="12" borderId="9" xfId="4" applyFont="1" applyFill="1" applyBorder="1" applyAlignment="1">
      <alignment horizontal="center" vertical="center"/>
    </xf>
    <xf numFmtId="0" fontId="14" fillId="12" borderId="10" xfId="4" applyFont="1" applyFill="1" applyBorder="1" applyAlignment="1">
      <alignment horizontal="center" vertical="center"/>
    </xf>
    <xf numFmtId="0" fontId="14" fillId="12" borderId="106" xfId="0" applyFont="1" applyFill="1" applyBorder="1" applyAlignment="1">
      <alignment horizontal="center" vertical="center" wrapText="1"/>
    </xf>
    <xf numFmtId="0" fontId="14" fillId="12" borderId="108" xfId="0" applyFont="1" applyFill="1" applyBorder="1" applyAlignment="1">
      <alignment horizontal="center" vertical="center" wrapText="1"/>
    </xf>
    <xf numFmtId="0" fontId="48" fillId="0" borderId="10" xfId="4" applyBorder="1">
      <alignment vertical="center"/>
    </xf>
    <xf numFmtId="0" fontId="14" fillId="12" borderId="106" xfId="4" applyFont="1" applyFill="1" applyBorder="1" applyAlignment="1">
      <alignment horizontal="center" vertical="center" wrapText="1"/>
    </xf>
    <xf numFmtId="0" fontId="14" fillId="12" borderId="108" xfId="4" applyFont="1" applyFill="1" applyBorder="1" applyAlignment="1">
      <alignment horizontal="center" vertical="center" wrapText="1"/>
    </xf>
    <xf numFmtId="0" fontId="14" fillId="12" borderId="107" xfId="4" applyFont="1" applyFill="1" applyBorder="1" applyAlignment="1">
      <alignment horizontal="center" vertical="center" wrapText="1"/>
    </xf>
    <xf numFmtId="0" fontId="34" fillId="25" borderId="12" xfId="0" applyFont="1" applyFill="1" applyBorder="1" applyAlignment="1">
      <alignment horizontal="center" vertical="center" wrapText="1"/>
    </xf>
    <xf numFmtId="0" fontId="34" fillId="25" borderId="2" xfId="0" applyFont="1" applyFill="1" applyBorder="1" applyAlignment="1">
      <alignment horizontal="center" vertical="center" wrapText="1"/>
    </xf>
    <xf numFmtId="0" fontId="33" fillId="19" borderId="22" xfId="0" applyFont="1" applyFill="1" applyBorder="1" applyAlignment="1">
      <alignment horizontal="center" vertical="center" wrapText="1"/>
    </xf>
    <xf numFmtId="0" fontId="33" fillId="19" borderId="30" xfId="0" applyFont="1" applyFill="1" applyBorder="1" applyAlignment="1">
      <alignment horizontal="center" vertical="center" wrapText="1"/>
    </xf>
    <xf numFmtId="0" fontId="33" fillId="19" borderId="29" xfId="0" applyFont="1" applyFill="1" applyBorder="1" applyAlignment="1">
      <alignment horizontal="center" vertical="center" wrapText="1"/>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5" fillId="6" borderId="16" xfId="0" applyFont="1" applyFill="1" applyBorder="1" applyAlignment="1">
      <alignment horizontal="center" vertical="center" shrinkToFit="1"/>
    </xf>
    <xf numFmtId="0" fontId="5" fillId="6" borderId="17" xfId="0" applyFont="1" applyFill="1" applyBorder="1" applyAlignment="1">
      <alignment horizontal="center" vertical="center" shrinkToFit="1"/>
    </xf>
    <xf numFmtId="0" fontId="21" fillId="0" borderId="7" xfId="0" applyFont="1" applyBorder="1" applyAlignment="1">
      <alignment horizontal="left" vertical="center"/>
    </xf>
    <xf numFmtId="0" fontId="21" fillId="0" borderId="0" xfId="0" applyFont="1" applyBorder="1" applyAlignment="1">
      <alignment horizontal="left" vertical="center"/>
    </xf>
    <xf numFmtId="0" fontId="21" fillId="0" borderId="8" xfId="0" applyFont="1" applyBorder="1" applyAlignment="1">
      <alignment horizontal="left" vertical="center"/>
    </xf>
    <xf numFmtId="0" fontId="36" fillId="0" borderId="22" xfId="0" applyFont="1" applyFill="1" applyBorder="1" applyAlignment="1">
      <alignment horizontal="center" vertical="center" wrapText="1" shrinkToFit="1"/>
    </xf>
    <xf numFmtId="0" fontId="36" fillId="0" borderId="30" xfId="0" applyFont="1" applyFill="1" applyBorder="1" applyAlignment="1">
      <alignment horizontal="center" vertical="center" wrapText="1" shrinkToFit="1"/>
    </xf>
    <xf numFmtId="0" fontId="36" fillId="0" borderId="29" xfId="0" applyFont="1" applyFill="1" applyBorder="1" applyAlignment="1">
      <alignment horizontal="center" vertical="center" wrapText="1" shrinkToFit="1"/>
    </xf>
    <xf numFmtId="0" fontId="0" fillId="0" borderId="7" xfId="0" applyBorder="1" applyAlignment="1">
      <alignment horizontal="left" vertical="center"/>
    </xf>
    <xf numFmtId="0" fontId="0" fillId="0" borderId="8" xfId="0" applyBorder="1" applyAlignment="1">
      <alignment horizontal="left" vertical="center"/>
    </xf>
    <xf numFmtId="0" fontId="7" fillId="6" borderId="13" xfId="0" applyFont="1" applyFill="1" applyBorder="1" applyAlignment="1">
      <alignment horizontal="center" vertical="center" shrinkToFit="1"/>
    </xf>
    <xf numFmtId="0" fontId="7" fillId="6" borderId="14" xfId="0" applyFont="1" applyFill="1" applyBorder="1" applyAlignment="1">
      <alignment horizontal="center" vertical="center" shrinkToFit="1"/>
    </xf>
    <xf numFmtId="0" fontId="7" fillId="6" borderId="15" xfId="0" applyFont="1" applyFill="1" applyBorder="1" applyAlignment="1">
      <alignment horizontal="center" vertical="center" shrinkToFi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32" fillId="0" borderId="7" xfId="0" applyFont="1" applyBorder="1" applyAlignment="1">
      <alignment horizontal="left" vertical="center"/>
    </xf>
    <xf numFmtId="0" fontId="32" fillId="0" borderId="0" xfId="0" applyFont="1" applyBorder="1" applyAlignment="1">
      <alignment horizontal="left" vertical="center"/>
    </xf>
    <xf numFmtId="0" fontId="32" fillId="0" borderId="8" xfId="0" applyFont="1" applyBorder="1" applyAlignment="1">
      <alignment horizontal="left" vertical="center"/>
    </xf>
    <xf numFmtId="0" fontId="8" fillId="6" borderId="13" xfId="0" applyFont="1" applyFill="1" applyBorder="1" applyAlignment="1">
      <alignment horizontal="center" vertical="center"/>
    </xf>
    <xf numFmtId="0" fontId="8" fillId="6" borderId="15" xfId="0" applyFont="1" applyFill="1" applyBorder="1" applyAlignment="1">
      <alignment horizontal="center" vertical="center"/>
    </xf>
    <xf numFmtId="0" fontId="7" fillId="6" borderId="1" xfId="0" applyFont="1" applyFill="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6" fillId="11" borderId="22" xfId="0" applyFont="1" applyFill="1" applyBorder="1" applyAlignment="1">
      <alignment horizontal="center" vertical="center" wrapText="1"/>
    </xf>
    <xf numFmtId="0" fontId="36" fillId="11" borderId="30" xfId="0" applyFont="1" applyFill="1" applyBorder="1" applyAlignment="1">
      <alignment horizontal="center" vertical="center" wrapText="1"/>
    </xf>
    <xf numFmtId="0" fontId="36" fillId="11" borderId="29" xfId="0" applyFont="1" applyFill="1" applyBorder="1" applyAlignment="1">
      <alignment horizontal="center" vertical="center" wrapText="1"/>
    </xf>
    <xf numFmtId="0" fontId="3" fillId="11" borderId="22" xfId="0" applyFont="1" applyFill="1" applyBorder="1" applyAlignment="1">
      <alignment horizontal="center" vertical="center" wrapText="1"/>
    </xf>
    <xf numFmtId="0" fontId="3" fillId="11" borderId="30" xfId="0" applyFont="1" applyFill="1" applyBorder="1" applyAlignment="1">
      <alignment horizontal="center" vertical="center" wrapText="1"/>
    </xf>
    <xf numFmtId="0" fontId="3" fillId="11" borderId="29" xfId="0" applyFont="1" applyFill="1" applyBorder="1" applyAlignment="1">
      <alignment horizontal="center" vertical="center" wrapText="1"/>
    </xf>
    <xf numFmtId="0" fontId="32" fillId="10" borderId="66" xfId="0" applyFont="1" applyFill="1" applyBorder="1" applyAlignment="1">
      <alignment horizontal="center" vertical="center" shrinkToFit="1"/>
    </xf>
    <xf numFmtId="0" fontId="32" fillId="10" borderId="68" xfId="0" applyFont="1" applyFill="1" applyBorder="1" applyAlignment="1">
      <alignment horizontal="center" vertical="center" shrinkToFit="1"/>
    </xf>
    <xf numFmtId="0" fontId="32" fillId="10" borderId="74" xfId="0" applyFont="1" applyFill="1" applyBorder="1" applyAlignment="1">
      <alignment horizontal="center" vertical="center" shrinkToFit="1"/>
    </xf>
    <xf numFmtId="0" fontId="7" fillId="6" borderId="13" xfId="0" applyFont="1" applyFill="1" applyBorder="1" applyAlignment="1">
      <alignment horizontal="center" vertical="center"/>
    </xf>
    <xf numFmtId="0" fontId="7" fillId="6" borderId="15" xfId="0" applyFont="1" applyFill="1" applyBorder="1" applyAlignment="1">
      <alignment horizontal="center"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0" xfId="0" applyFont="1" applyBorder="1" applyAlignment="1">
      <alignment horizontal="left" vertical="center"/>
    </xf>
    <xf numFmtId="0" fontId="16" fillId="0" borderId="8" xfId="0" applyFont="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0" borderId="13" xfId="0" applyFont="1" applyBorder="1" applyAlignment="1">
      <alignment horizontal="left" vertical="center"/>
    </xf>
    <xf numFmtId="0" fontId="23" fillId="6" borderId="31" xfId="0" applyFont="1" applyFill="1" applyBorder="1" applyAlignment="1">
      <alignment horizontal="center" vertical="center" shrinkToFit="1"/>
    </xf>
    <xf numFmtId="0" fontId="23" fillId="6" borderId="54" xfId="0" applyFont="1" applyFill="1" applyBorder="1" applyAlignment="1">
      <alignment horizontal="center" vertical="center" shrinkToFit="1"/>
    </xf>
    <xf numFmtId="0" fontId="23" fillId="6" borderId="58" xfId="0" applyFont="1" applyFill="1" applyBorder="1" applyAlignment="1">
      <alignment horizontal="center" vertical="center" shrinkToFit="1"/>
    </xf>
    <xf numFmtId="0" fontId="23" fillId="6" borderId="36" xfId="0" applyFont="1" applyFill="1" applyBorder="1" applyAlignment="1">
      <alignment horizontal="center" vertical="center" shrinkToFit="1"/>
    </xf>
    <xf numFmtId="0" fontId="23" fillId="6" borderId="56" xfId="0" applyFont="1" applyFill="1" applyBorder="1" applyAlignment="1">
      <alignment horizontal="center" vertical="center" shrinkToFit="1"/>
    </xf>
    <xf numFmtId="0" fontId="23" fillId="6" borderId="76" xfId="0" applyFont="1" applyFill="1" applyBorder="1" applyAlignment="1">
      <alignment horizontal="center" vertical="center" shrinkToFit="1"/>
    </xf>
    <xf numFmtId="0" fontId="5" fillId="21" borderId="75" xfId="0" applyFont="1" applyFill="1" applyBorder="1" applyAlignment="1">
      <alignment horizontal="center" vertical="center" wrapText="1"/>
    </xf>
    <xf numFmtId="0" fontId="5" fillId="21" borderId="47" xfId="0" applyFont="1" applyFill="1" applyBorder="1" applyAlignment="1">
      <alignment horizontal="center" vertical="center" wrapText="1"/>
    </xf>
    <xf numFmtId="0" fontId="5" fillId="19" borderId="75" xfId="0" applyFont="1" applyFill="1" applyBorder="1" applyAlignment="1">
      <alignment horizontal="center" vertical="center" wrapText="1"/>
    </xf>
    <xf numFmtId="0" fontId="5" fillId="19" borderId="48" xfId="0" applyFont="1" applyFill="1" applyBorder="1" applyAlignment="1">
      <alignment horizontal="center" vertical="center" wrapText="1"/>
    </xf>
    <xf numFmtId="0" fontId="10" fillId="10" borderId="66" xfId="0" applyFont="1" applyFill="1" applyBorder="1" applyAlignment="1">
      <alignment horizontal="center" vertical="center" shrinkToFit="1"/>
    </xf>
    <xf numFmtId="0" fontId="10" fillId="10" borderId="68" xfId="0" applyFont="1" applyFill="1" applyBorder="1" applyAlignment="1">
      <alignment horizontal="center" vertical="center" shrinkToFit="1"/>
    </xf>
    <xf numFmtId="0" fontId="10" fillId="10" borderId="74" xfId="0" applyFont="1" applyFill="1" applyBorder="1" applyAlignment="1">
      <alignment horizontal="center" vertical="center" shrinkToFit="1"/>
    </xf>
    <xf numFmtId="0" fontId="25" fillId="0" borderId="7" xfId="0" applyFont="1" applyBorder="1" applyAlignment="1">
      <alignment horizontal="left" vertical="center"/>
    </xf>
    <xf numFmtId="0" fontId="25" fillId="0" borderId="0" xfId="0" applyFont="1" applyBorder="1" applyAlignment="1">
      <alignment horizontal="left" vertical="center"/>
    </xf>
    <xf numFmtId="0" fontId="25" fillId="0" borderId="8" xfId="0" applyFont="1" applyBorder="1" applyAlignment="1">
      <alignment horizontal="left"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16" fillId="0" borderId="7" xfId="0" quotePrefix="1" applyFont="1" applyBorder="1" applyAlignment="1">
      <alignment horizontal="left" vertical="center"/>
    </xf>
    <xf numFmtId="0" fontId="7" fillId="13" borderId="13" xfId="0" applyFont="1" applyFill="1" applyBorder="1" applyAlignment="1">
      <alignment horizontal="center" vertical="center"/>
    </xf>
    <xf numFmtId="0" fontId="7" fillId="13" borderId="15" xfId="0" applyFont="1" applyFill="1" applyBorder="1" applyAlignment="1">
      <alignment horizontal="center" vertical="center"/>
    </xf>
    <xf numFmtId="0" fontId="8" fillId="13" borderId="13" xfId="0" applyFont="1" applyFill="1" applyBorder="1" applyAlignment="1">
      <alignment horizontal="center" vertical="center"/>
    </xf>
    <xf numFmtId="0" fontId="8" fillId="13" borderId="15" xfId="0" applyFont="1" applyFill="1" applyBorder="1" applyAlignment="1">
      <alignment horizontal="center" vertical="center"/>
    </xf>
    <xf numFmtId="0" fontId="7" fillId="13" borderId="1" xfId="0" applyFont="1" applyFill="1" applyBorder="1" applyAlignment="1">
      <alignment horizontal="left" vertical="center"/>
    </xf>
    <xf numFmtId="0" fontId="5" fillId="19" borderId="13" xfId="0" applyFont="1" applyFill="1" applyBorder="1" applyAlignment="1">
      <alignment horizontal="left" vertical="center"/>
    </xf>
    <xf numFmtId="0" fontId="5" fillId="19" borderId="14" xfId="0" applyFont="1" applyFill="1" applyBorder="1" applyAlignment="1">
      <alignment horizontal="left" vertical="center"/>
    </xf>
    <xf numFmtId="0" fontId="5" fillId="19" borderId="15" xfId="0" applyFont="1" applyFill="1" applyBorder="1" applyAlignment="1">
      <alignment horizontal="left" vertical="center"/>
    </xf>
    <xf numFmtId="0" fontId="16" fillId="0" borderId="7" xfId="0" applyFont="1" applyBorder="1" applyAlignment="1">
      <alignment horizontal="center" vertical="center"/>
    </xf>
    <xf numFmtId="0" fontId="16" fillId="0" borderId="0" xfId="0" applyFont="1" applyBorder="1" applyAlignment="1">
      <alignment horizontal="center" vertical="center"/>
    </xf>
    <xf numFmtId="0" fontId="16" fillId="0" borderId="8" xfId="0" applyFont="1" applyBorder="1" applyAlignment="1">
      <alignment horizontal="center" vertical="center"/>
    </xf>
    <xf numFmtId="0" fontId="5" fillId="13" borderId="16" xfId="0" applyFont="1" applyFill="1" applyBorder="1" applyAlignment="1">
      <alignment horizontal="center" vertical="center" shrinkToFit="1"/>
    </xf>
    <xf numFmtId="0" fontId="5" fillId="13" borderId="17" xfId="0" applyFont="1" applyFill="1" applyBorder="1" applyAlignment="1">
      <alignment horizontal="center" vertical="center" shrinkToFit="1"/>
    </xf>
    <xf numFmtId="0" fontId="35" fillId="13" borderId="13" xfId="0" applyFont="1" applyFill="1" applyBorder="1" applyAlignment="1">
      <alignment horizontal="center" vertical="center" shrinkToFit="1"/>
    </xf>
    <xf numFmtId="0" fontId="35" fillId="13" borderId="15" xfId="0" applyFont="1" applyFill="1" applyBorder="1" applyAlignment="1">
      <alignment horizontal="center" vertical="center" shrinkToFit="1"/>
    </xf>
    <xf numFmtId="0" fontId="7" fillId="13" borderId="13" xfId="0" applyFont="1" applyFill="1" applyBorder="1" applyAlignment="1">
      <alignment horizontal="center" vertical="center" shrinkToFit="1"/>
    </xf>
    <xf numFmtId="0" fontId="7" fillId="13" borderId="14" xfId="0" applyFont="1" applyFill="1" applyBorder="1" applyAlignment="1">
      <alignment horizontal="center" vertical="center" shrinkToFit="1"/>
    </xf>
    <xf numFmtId="0" fontId="7" fillId="13" borderId="15" xfId="0" applyFont="1" applyFill="1" applyBorder="1" applyAlignment="1">
      <alignment horizontal="center" vertical="center" shrinkToFit="1"/>
    </xf>
    <xf numFmtId="0" fontId="41" fillId="11" borderId="36" xfId="0" applyFont="1" applyFill="1" applyBorder="1" applyAlignment="1">
      <alignment horizontal="center" vertical="center" wrapText="1"/>
    </xf>
    <xf numFmtId="0" fontId="41" fillId="11" borderId="82" xfId="0" applyFont="1" applyFill="1" applyBorder="1" applyAlignment="1">
      <alignment horizontal="center" vertical="center" wrapText="1"/>
    </xf>
    <xf numFmtId="0" fontId="32" fillId="7" borderId="77" xfId="0" applyFont="1" applyFill="1" applyBorder="1" applyAlignment="1">
      <alignment horizontal="center" vertical="center"/>
    </xf>
    <xf numFmtId="0" fontId="32" fillId="7" borderId="57" xfId="0" applyFont="1" applyFill="1" applyBorder="1" applyAlignment="1">
      <alignment horizontal="center" vertical="center"/>
    </xf>
    <xf numFmtId="0" fontId="10" fillId="0" borderId="7" xfId="0" applyFont="1" applyBorder="1" applyAlignment="1">
      <alignment horizontal="left" vertical="center"/>
    </xf>
    <xf numFmtId="0" fontId="10" fillId="0" borderId="0" xfId="0" applyFont="1" applyBorder="1" applyAlignment="1">
      <alignment horizontal="left" vertical="center"/>
    </xf>
    <xf numFmtId="0" fontId="10" fillId="0" borderId="8" xfId="0" applyFont="1" applyBorder="1" applyAlignment="1">
      <alignment horizontal="left" vertical="center"/>
    </xf>
    <xf numFmtId="0" fontId="23" fillId="13" borderId="31" xfId="0" applyFont="1" applyFill="1" applyBorder="1" applyAlignment="1">
      <alignment horizontal="center" vertical="center" shrinkToFit="1"/>
    </xf>
    <xf numFmtId="0" fontId="23" fillId="13" borderId="54" xfId="0" applyFont="1" applyFill="1" applyBorder="1" applyAlignment="1">
      <alignment horizontal="center" vertical="center" shrinkToFit="1"/>
    </xf>
    <xf numFmtId="0" fontId="23" fillId="13" borderId="58" xfId="0" applyFont="1" applyFill="1" applyBorder="1" applyAlignment="1">
      <alignment horizontal="center" vertical="center" shrinkToFit="1"/>
    </xf>
    <xf numFmtId="0" fontId="23" fillId="13" borderId="36" xfId="0" applyFont="1" applyFill="1" applyBorder="1" applyAlignment="1">
      <alignment horizontal="center" vertical="center" shrinkToFit="1"/>
    </xf>
    <xf numFmtId="0" fontId="23" fillId="13" borderId="56" xfId="0" applyFont="1" applyFill="1" applyBorder="1" applyAlignment="1">
      <alignment horizontal="center" vertical="center" shrinkToFit="1"/>
    </xf>
    <xf numFmtId="0" fontId="23" fillId="13" borderId="76" xfId="0" applyFont="1" applyFill="1" applyBorder="1" applyAlignment="1">
      <alignment horizontal="center" vertical="center" shrinkToFit="1"/>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6" fillId="0" borderId="13"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15" xfId="0" applyFont="1" applyFill="1" applyBorder="1" applyAlignment="1">
      <alignment horizontal="left" vertical="center"/>
    </xf>
    <xf numFmtId="0" fontId="16" fillId="0" borderId="11" xfId="0" applyFont="1" applyBorder="1" applyAlignment="1">
      <alignment horizontal="left" vertical="center"/>
    </xf>
    <xf numFmtId="0" fontId="18" fillId="0" borderId="7" xfId="0" applyFont="1" applyBorder="1" applyAlignment="1">
      <alignment horizontal="left" vertical="center"/>
    </xf>
    <xf numFmtId="0" fontId="18" fillId="0" borderId="0" xfId="0" applyFont="1" applyBorder="1" applyAlignment="1">
      <alignment horizontal="left" vertical="center"/>
    </xf>
    <xf numFmtId="0" fontId="18" fillId="0" borderId="8" xfId="0" applyFont="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22" fillId="0" borderId="7" xfId="0" applyFont="1" applyBorder="1" applyAlignment="1">
      <alignment horizontal="left" vertical="center"/>
    </xf>
    <xf numFmtId="0" fontId="22" fillId="0" borderId="0" xfId="0" applyFont="1" applyBorder="1" applyAlignment="1">
      <alignment horizontal="left" vertical="center"/>
    </xf>
    <xf numFmtId="0" fontId="22" fillId="0" borderId="8" xfId="0" applyFont="1" applyBorder="1" applyAlignment="1">
      <alignment horizontal="left" vertical="center"/>
    </xf>
    <xf numFmtId="0" fontId="58" fillId="0" borderId="7" xfId="0" applyFont="1" applyBorder="1" applyAlignment="1">
      <alignment horizontal="center" vertical="center"/>
    </xf>
    <xf numFmtId="0" fontId="58" fillId="0" borderId="0" xfId="0" applyFont="1" applyBorder="1" applyAlignment="1">
      <alignment horizontal="center" vertical="center"/>
    </xf>
    <xf numFmtId="0" fontId="58" fillId="0" borderId="8" xfId="0" applyFont="1" applyBorder="1" applyAlignment="1">
      <alignment horizontal="center" vertical="center"/>
    </xf>
    <xf numFmtId="0" fontId="7" fillId="17" borderId="13" xfId="0" applyFont="1" applyFill="1" applyBorder="1" applyAlignment="1">
      <alignment horizontal="center" vertical="center" shrinkToFit="1"/>
    </xf>
    <xf numFmtId="0" fontId="7" fillId="17" borderId="14" xfId="0" applyFont="1" applyFill="1" applyBorder="1" applyAlignment="1">
      <alignment horizontal="center" vertical="center" shrinkToFit="1"/>
    </xf>
    <xf numFmtId="0" fontId="7" fillId="17" borderId="15" xfId="0" applyFont="1" applyFill="1" applyBorder="1" applyAlignment="1">
      <alignment horizontal="center" vertical="center" shrinkToFit="1"/>
    </xf>
    <xf numFmtId="0" fontId="23" fillId="17" borderId="31" xfId="0" applyFont="1" applyFill="1" applyBorder="1" applyAlignment="1">
      <alignment horizontal="center" vertical="center" shrinkToFit="1"/>
    </xf>
    <xf numFmtId="0" fontId="23" fillId="17" borderId="54" xfId="0" applyFont="1" applyFill="1" applyBorder="1" applyAlignment="1">
      <alignment horizontal="center" vertical="center" shrinkToFit="1"/>
    </xf>
    <xf numFmtId="0" fontId="23" fillId="17" borderId="58" xfId="0" applyFont="1" applyFill="1" applyBorder="1" applyAlignment="1">
      <alignment horizontal="center" vertical="center" shrinkToFit="1"/>
    </xf>
    <xf numFmtId="0" fontId="23" fillId="17" borderId="36" xfId="0" applyFont="1" applyFill="1" applyBorder="1" applyAlignment="1">
      <alignment horizontal="center" vertical="center" shrinkToFit="1"/>
    </xf>
    <xf numFmtId="0" fontId="23" fillId="17" borderId="56" xfId="0" applyFont="1" applyFill="1" applyBorder="1" applyAlignment="1">
      <alignment horizontal="center" vertical="center" shrinkToFit="1"/>
    </xf>
    <xf numFmtId="0" fontId="23" fillId="17" borderId="76" xfId="0" applyFont="1" applyFill="1" applyBorder="1" applyAlignment="1">
      <alignment horizontal="center" vertical="center" shrinkToFit="1"/>
    </xf>
    <xf numFmtId="0" fontId="7" fillId="17" borderId="13" xfId="0" applyFont="1" applyFill="1" applyBorder="1" applyAlignment="1">
      <alignment horizontal="center" vertical="center"/>
    </xf>
    <xf numFmtId="0" fontId="7" fillId="17" borderId="15" xfId="0" applyFont="1" applyFill="1" applyBorder="1" applyAlignment="1">
      <alignment horizontal="center" vertical="center"/>
    </xf>
    <xf numFmtId="0" fontId="8" fillId="17" borderId="13" xfId="0" applyFont="1" applyFill="1" applyBorder="1" applyAlignment="1">
      <alignment horizontal="center" vertical="center"/>
    </xf>
    <xf numFmtId="0" fontId="8" fillId="17" borderId="15" xfId="0" applyFont="1" applyFill="1" applyBorder="1" applyAlignment="1">
      <alignment horizontal="center" vertical="center"/>
    </xf>
    <xf numFmtId="0" fontId="7" fillId="17" borderId="1" xfId="0" applyFont="1" applyFill="1" applyBorder="1" applyAlignment="1">
      <alignment horizontal="left" vertical="center"/>
    </xf>
    <xf numFmtId="0" fontId="23" fillId="17" borderId="13" xfId="0" applyFont="1" applyFill="1" applyBorder="1" applyAlignment="1">
      <alignment horizontal="center" vertical="center" shrinkToFit="1"/>
    </xf>
    <xf numFmtId="0" fontId="23" fillId="17" borderId="15" xfId="0" applyFont="1" applyFill="1" applyBorder="1" applyAlignment="1">
      <alignment horizontal="center" vertical="center" shrinkToFit="1"/>
    </xf>
    <xf numFmtId="0" fontId="7" fillId="17" borderId="45" xfId="0" applyFont="1" applyFill="1" applyBorder="1" applyAlignment="1">
      <alignment horizontal="left" vertical="center"/>
    </xf>
    <xf numFmtId="0" fontId="7" fillId="17" borderId="17" xfId="0" applyFont="1" applyFill="1" applyBorder="1" applyAlignment="1">
      <alignment horizontal="left" vertical="center"/>
    </xf>
    <xf numFmtId="0" fontId="7" fillId="17" borderId="18" xfId="0" applyFont="1" applyFill="1" applyBorder="1" applyAlignment="1">
      <alignment horizontal="left" vertical="center"/>
    </xf>
    <xf numFmtId="0" fontId="27" fillId="12" borderId="46" xfId="0" applyFont="1" applyFill="1" applyBorder="1" applyAlignment="1">
      <alignment horizontal="center" vertical="center"/>
    </xf>
    <xf numFmtId="0" fontId="27" fillId="12" borderId="47" xfId="0" applyFont="1" applyFill="1" applyBorder="1" applyAlignment="1">
      <alignment horizontal="center" vertical="center"/>
    </xf>
    <xf numFmtId="0" fontId="27" fillId="12" borderId="48" xfId="0" applyFont="1" applyFill="1" applyBorder="1" applyAlignment="1">
      <alignment horizontal="center" vertical="center"/>
    </xf>
    <xf numFmtId="0" fontId="28" fillId="0" borderId="50" xfId="0" applyFont="1" applyBorder="1" applyAlignment="1">
      <alignment horizontal="center" vertical="center"/>
    </xf>
    <xf numFmtId="0" fontId="28" fillId="0" borderId="51" xfId="0" applyFont="1" applyBorder="1" applyAlignment="1">
      <alignment horizontal="center" vertical="center"/>
    </xf>
    <xf numFmtId="0" fontId="28" fillId="0" borderId="52" xfId="0" applyFont="1" applyBorder="1" applyAlignment="1">
      <alignment horizontal="center" vertical="center"/>
    </xf>
    <xf numFmtId="0" fontId="40" fillId="11" borderId="22" xfId="0" applyFont="1" applyFill="1" applyBorder="1" applyAlignment="1">
      <alignment horizontal="center" vertical="center" wrapText="1"/>
    </xf>
    <xf numFmtId="0" fontId="40" fillId="11" borderId="30" xfId="0" applyFont="1" applyFill="1" applyBorder="1" applyAlignment="1">
      <alignment horizontal="center" vertical="center" wrapText="1"/>
    </xf>
    <xf numFmtId="0" fontId="40" fillId="11" borderId="29" xfId="0" applyFont="1" applyFill="1" applyBorder="1" applyAlignment="1">
      <alignment horizontal="center" vertical="center" wrapText="1"/>
    </xf>
    <xf numFmtId="0" fontId="40" fillId="0" borderId="22" xfId="0" applyFont="1" applyFill="1" applyBorder="1" applyAlignment="1">
      <alignment horizontal="center" vertical="center" wrapText="1" shrinkToFit="1"/>
    </xf>
    <xf numFmtId="0" fontId="40" fillId="0" borderId="30" xfId="0" applyFont="1" applyFill="1" applyBorder="1" applyAlignment="1">
      <alignment horizontal="center" vertical="center" wrapText="1" shrinkToFit="1"/>
    </xf>
    <xf numFmtId="0" fontId="40" fillId="0" borderId="29" xfId="0" applyFont="1" applyFill="1" applyBorder="1" applyAlignment="1">
      <alignment horizontal="center" vertical="center" wrapText="1" shrinkToFit="1"/>
    </xf>
    <xf numFmtId="0" fontId="29" fillId="10" borderId="66" xfId="0" applyFont="1" applyFill="1" applyBorder="1" applyAlignment="1">
      <alignment horizontal="center" vertical="center" shrinkToFit="1"/>
    </xf>
    <xf numFmtId="0" fontId="29" fillId="10" borderId="84" xfId="0" applyFont="1" applyFill="1" applyBorder="1" applyAlignment="1">
      <alignment horizontal="center" vertical="center" shrinkToFit="1"/>
    </xf>
    <xf numFmtId="0" fontId="5" fillId="23" borderId="75" xfId="0" applyFont="1" applyFill="1" applyBorder="1" applyAlignment="1">
      <alignment horizontal="center" vertical="center" wrapText="1"/>
    </xf>
    <xf numFmtId="0" fontId="5" fillId="23" borderId="48" xfId="0" applyFont="1" applyFill="1" applyBorder="1" applyAlignment="1">
      <alignment horizontal="center" vertical="center" wrapTex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41" fillId="11" borderId="22" xfId="0" applyFont="1" applyFill="1" applyBorder="1" applyAlignment="1">
      <alignment horizontal="center" vertical="center" wrapText="1"/>
    </xf>
    <xf numFmtId="0" fontId="41" fillId="11" borderId="30" xfId="0" applyFont="1" applyFill="1" applyBorder="1" applyAlignment="1">
      <alignment horizontal="center" vertical="center" wrapText="1"/>
    </xf>
    <xf numFmtId="0" fontId="41" fillId="11" borderId="29" xfId="0" applyFont="1" applyFill="1" applyBorder="1" applyAlignment="1">
      <alignment horizontal="center" vertical="center" wrapText="1"/>
    </xf>
    <xf numFmtId="0" fontId="34" fillId="17" borderId="31" xfId="0" applyFont="1" applyFill="1" applyBorder="1" applyAlignment="1">
      <alignment horizontal="center" vertical="center" shrinkToFit="1"/>
    </xf>
    <xf numFmtId="0" fontId="34" fillId="17" borderId="54" xfId="0" applyFont="1" applyFill="1" applyBorder="1" applyAlignment="1">
      <alignment horizontal="center" vertical="center" shrinkToFit="1"/>
    </xf>
    <xf numFmtId="0" fontId="34" fillId="17" borderId="55" xfId="0" applyFont="1" applyFill="1" applyBorder="1" applyAlignment="1">
      <alignment horizontal="center" vertical="center" shrinkToFit="1"/>
    </xf>
    <xf numFmtId="0" fontId="34" fillId="17" borderId="36" xfId="0" applyFont="1" applyFill="1" applyBorder="1" applyAlignment="1">
      <alignment horizontal="center" vertical="center" shrinkToFit="1"/>
    </xf>
    <xf numFmtId="0" fontId="34" fillId="17" borderId="56" xfId="0" applyFont="1" applyFill="1" applyBorder="1" applyAlignment="1">
      <alignment horizontal="center" vertical="center" shrinkToFit="1"/>
    </xf>
    <xf numFmtId="0" fontId="34" fillId="17" borderId="57" xfId="0" applyFont="1" applyFill="1" applyBorder="1" applyAlignment="1">
      <alignment horizontal="center" vertical="center" shrinkToFit="1"/>
    </xf>
    <xf numFmtId="0" fontId="5" fillId="17" borderId="16" xfId="0" applyFont="1" applyFill="1" applyBorder="1" applyAlignment="1">
      <alignment horizontal="center" vertical="center" shrinkToFit="1"/>
    </xf>
    <xf numFmtId="0" fontId="5" fillId="17" borderId="17" xfId="0" applyFont="1" applyFill="1" applyBorder="1" applyAlignment="1">
      <alignment horizontal="center" vertical="center" shrinkToFit="1"/>
    </xf>
    <xf numFmtId="0" fontId="10" fillId="10" borderId="66" xfId="0" applyFont="1" applyFill="1" applyBorder="1" applyAlignment="1">
      <alignment horizontal="center" vertical="center" wrapText="1" shrinkToFit="1"/>
    </xf>
    <xf numFmtId="0" fontId="10" fillId="10" borderId="68" xfId="0" applyFont="1" applyFill="1" applyBorder="1" applyAlignment="1">
      <alignment horizontal="center" vertical="center" wrapText="1" shrinkToFit="1"/>
    </xf>
    <xf numFmtId="0" fontId="10" fillId="10" borderId="74" xfId="0" applyFont="1" applyFill="1" applyBorder="1" applyAlignment="1">
      <alignment horizontal="center" vertical="center" wrapText="1" shrinkToFit="1"/>
    </xf>
    <xf numFmtId="0" fontId="23" fillId="4" borderId="16" xfId="0" applyFont="1" applyFill="1" applyBorder="1" applyAlignment="1">
      <alignment horizontal="center" vertical="center" shrinkToFit="1"/>
    </xf>
    <xf numFmtId="0" fontId="23" fillId="4" borderId="44" xfId="0" applyFont="1" applyFill="1" applyBorder="1" applyAlignment="1">
      <alignment horizontal="center" vertical="center" shrinkToFit="1"/>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23" fillId="6" borderId="13" xfId="0" applyFont="1" applyFill="1" applyBorder="1" applyAlignment="1">
      <alignment horizontal="center" vertical="center"/>
    </xf>
    <xf numFmtId="0" fontId="23" fillId="6" borderId="15" xfId="0" applyFont="1" applyFill="1" applyBorder="1" applyAlignment="1">
      <alignment horizontal="center" vertical="center"/>
    </xf>
    <xf numFmtId="0" fontId="9" fillId="0" borderId="5" xfId="0" applyFont="1" applyFill="1" applyBorder="1" applyAlignment="1">
      <alignment horizontal="left" vertical="center" shrinkToFit="1"/>
    </xf>
    <xf numFmtId="0" fontId="35" fillId="6" borderId="13" xfId="0" applyFont="1" applyFill="1" applyBorder="1" applyAlignment="1">
      <alignment horizontal="center" vertical="center" shrinkToFit="1"/>
    </xf>
    <xf numFmtId="0" fontId="35" fillId="6" borderId="15" xfId="0" applyFont="1" applyFill="1" applyBorder="1" applyAlignment="1">
      <alignment horizontal="center" vertical="center" shrinkToFit="1"/>
    </xf>
    <xf numFmtId="0" fontId="23" fillId="13" borderId="13" xfId="0" applyFont="1" applyFill="1" applyBorder="1" applyAlignment="1">
      <alignment horizontal="center" vertical="center" shrinkToFit="1"/>
    </xf>
    <xf numFmtId="0" fontId="23" fillId="13" borderId="15" xfId="0" applyFont="1" applyFill="1" applyBorder="1" applyAlignment="1">
      <alignment horizontal="center" vertical="center" shrinkToFit="1"/>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23" fillId="13" borderId="13" xfId="0" applyFont="1" applyFill="1" applyBorder="1" applyAlignment="1">
      <alignment horizontal="center" vertical="center"/>
    </xf>
    <xf numFmtId="0" fontId="23" fillId="13" borderId="15" xfId="0" applyFont="1" applyFill="1" applyBorder="1" applyAlignment="1">
      <alignment horizontal="center" vertical="center"/>
    </xf>
    <xf numFmtId="0" fontId="15" fillId="0" borderId="7" xfId="0" applyFont="1" applyBorder="1" applyAlignment="1">
      <alignment horizontal="left" vertical="center"/>
    </xf>
    <xf numFmtId="0" fontId="15" fillId="0" borderId="0" xfId="0" applyFont="1" applyBorder="1" applyAlignment="1">
      <alignment horizontal="left" vertical="center"/>
    </xf>
    <xf numFmtId="0" fontId="15" fillId="0" borderId="8" xfId="0" applyFont="1" applyBorder="1" applyAlignment="1">
      <alignment horizontal="left" vertical="center"/>
    </xf>
    <xf numFmtId="0" fontId="0" fillId="0" borderId="7" xfId="0" quotePrefix="1" applyBorder="1" applyAlignment="1">
      <alignment horizontal="left" vertical="center"/>
    </xf>
    <xf numFmtId="0" fontId="29" fillId="0" borderId="7" xfId="0" applyFont="1" applyBorder="1" applyAlignment="1">
      <alignment horizontal="center" vertical="center"/>
    </xf>
    <xf numFmtId="0" fontId="29" fillId="0" borderId="0" xfId="0" applyFont="1" applyBorder="1" applyAlignment="1">
      <alignment horizontal="center" vertical="center"/>
    </xf>
    <xf numFmtId="0" fontId="29" fillId="0" borderId="8" xfId="0" applyFont="1" applyBorder="1" applyAlignment="1">
      <alignment horizontal="center" vertical="center"/>
    </xf>
    <xf numFmtId="0" fontId="29" fillId="0" borderId="7" xfId="0" applyFont="1" applyBorder="1" applyAlignment="1">
      <alignment horizontal="left" vertical="center"/>
    </xf>
    <xf numFmtId="0" fontId="29" fillId="0" borderId="0" xfId="0" applyFont="1" applyBorder="1" applyAlignment="1">
      <alignment horizontal="left" vertical="center"/>
    </xf>
    <xf numFmtId="0" fontId="29" fillId="0" borderId="8" xfId="0" applyFont="1" applyBorder="1" applyAlignment="1">
      <alignment horizontal="left" vertical="center"/>
    </xf>
    <xf numFmtId="0" fontId="7" fillId="18" borderId="13" xfId="0" applyFont="1" applyFill="1" applyBorder="1" applyAlignment="1">
      <alignment horizontal="center" vertical="center" shrinkToFit="1"/>
    </xf>
    <xf numFmtId="0" fontId="7" fillId="18" borderId="14" xfId="0" applyFont="1" applyFill="1" applyBorder="1" applyAlignment="1">
      <alignment horizontal="center" vertical="center" shrinkToFit="1"/>
    </xf>
    <xf numFmtId="0" fontId="7" fillId="18" borderId="15" xfId="0" applyFont="1" applyFill="1" applyBorder="1" applyAlignment="1">
      <alignment horizontal="center" vertical="center" shrinkToFit="1"/>
    </xf>
    <xf numFmtId="0" fontId="7" fillId="18" borderId="13" xfId="0" applyFont="1" applyFill="1" applyBorder="1" applyAlignment="1">
      <alignment horizontal="center" vertical="center"/>
    </xf>
    <xf numFmtId="0" fontId="7" fillId="18" borderId="15" xfId="0" applyFont="1" applyFill="1" applyBorder="1" applyAlignment="1">
      <alignment horizontal="center" vertical="center"/>
    </xf>
    <xf numFmtId="0" fontId="8" fillId="18" borderId="13" xfId="0" applyFont="1" applyFill="1" applyBorder="1" applyAlignment="1">
      <alignment horizontal="center" vertical="center"/>
    </xf>
    <xf numFmtId="0" fontId="8" fillId="18" borderId="15" xfId="0" applyFont="1" applyFill="1" applyBorder="1" applyAlignment="1">
      <alignment horizontal="center" vertical="center"/>
    </xf>
    <xf numFmtId="0" fontId="7" fillId="18" borderId="1" xfId="0" applyFont="1" applyFill="1" applyBorder="1" applyAlignment="1">
      <alignment horizontal="left" vertical="center"/>
    </xf>
    <xf numFmtId="0" fontId="23" fillId="18" borderId="31" xfId="0" applyFont="1" applyFill="1" applyBorder="1" applyAlignment="1">
      <alignment horizontal="center" vertical="center" shrinkToFit="1"/>
    </xf>
    <xf numFmtId="0" fontId="23" fillId="18" borderId="54" xfId="0" applyFont="1" applyFill="1" applyBorder="1" applyAlignment="1">
      <alignment horizontal="center" vertical="center" shrinkToFit="1"/>
    </xf>
    <xf numFmtId="0" fontId="23" fillId="18" borderId="58" xfId="0" applyFont="1" applyFill="1" applyBorder="1" applyAlignment="1">
      <alignment horizontal="center" vertical="center" shrinkToFit="1"/>
    </xf>
    <xf numFmtId="0" fontId="23" fillId="18" borderId="36" xfId="0" applyFont="1" applyFill="1" applyBorder="1" applyAlignment="1">
      <alignment horizontal="center" vertical="center" shrinkToFit="1"/>
    </xf>
    <xf numFmtId="0" fontId="23" fillId="18" borderId="56" xfId="0" applyFont="1" applyFill="1" applyBorder="1" applyAlignment="1">
      <alignment horizontal="center" vertical="center" shrinkToFit="1"/>
    </xf>
    <xf numFmtId="0" fontId="23" fillId="18" borderId="76" xfId="0" applyFont="1" applyFill="1" applyBorder="1" applyAlignment="1">
      <alignment horizontal="center" vertical="center" shrinkToFit="1"/>
    </xf>
    <xf numFmtId="0" fontId="36" fillId="11" borderId="42" xfId="0" applyFont="1" applyFill="1" applyBorder="1" applyAlignment="1">
      <alignment horizontal="center" vertical="center" wrapText="1"/>
    </xf>
    <xf numFmtId="0" fontId="36" fillId="11" borderId="3" xfId="0" applyFont="1" applyFill="1" applyBorder="1" applyAlignment="1">
      <alignment horizontal="center" vertical="center" wrapText="1"/>
    </xf>
    <xf numFmtId="0" fontId="0" fillId="0" borderId="13" xfId="0" quotePrefix="1" applyBorder="1" applyAlignment="1">
      <alignment horizontal="left" vertical="center"/>
    </xf>
    <xf numFmtId="0" fontId="16" fillId="0" borderId="9" xfId="0" quotePrefix="1" applyFont="1" applyBorder="1" applyAlignment="1">
      <alignment horizontal="left" vertical="center"/>
    </xf>
    <xf numFmtId="0" fontId="7" fillId="18" borderId="13" xfId="2" applyFont="1" applyFill="1" applyBorder="1" applyAlignment="1">
      <alignment horizontal="center" vertical="center"/>
    </xf>
    <xf numFmtId="0" fontId="7" fillId="18" borderId="15" xfId="2" applyFont="1" applyFill="1" applyBorder="1" applyAlignment="1">
      <alignment horizontal="center" vertical="center"/>
    </xf>
    <xf numFmtId="0" fontId="8" fillId="18" borderId="13" xfId="2" applyFont="1" applyFill="1" applyBorder="1" applyAlignment="1">
      <alignment horizontal="center" vertical="center"/>
    </xf>
    <xf numFmtId="0" fontId="8" fillId="18" borderId="15" xfId="2" applyFont="1" applyFill="1" applyBorder="1" applyAlignment="1">
      <alignment horizontal="center" vertical="center"/>
    </xf>
    <xf numFmtId="0" fontId="7" fillId="18" borderId="1" xfId="2" applyFont="1" applyFill="1" applyBorder="1" applyAlignment="1">
      <alignment horizontal="left" vertical="center"/>
    </xf>
    <xf numFmtId="0" fontId="0" fillId="0" borderId="13" xfId="2" applyFont="1" applyBorder="1" applyAlignment="1">
      <alignment horizontal="left" vertical="center"/>
    </xf>
    <xf numFmtId="0" fontId="13" fillId="0" borderId="14" xfId="2" applyBorder="1" applyAlignment="1">
      <alignment horizontal="left" vertical="center"/>
    </xf>
    <xf numFmtId="0" fontId="13" fillId="0" borderId="15" xfId="2" applyBorder="1" applyAlignment="1">
      <alignment horizontal="left" vertical="center"/>
    </xf>
    <xf numFmtId="0" fontId="48" fillId="9" borderId="13" xfId="3" applyFill="1" applyBorder="1" applyAlignment="1">
      <alignment horizontal="center" vertical="center"/>
    </xf>
    <xf numFmtId="0" fontId="48" fillId="9" borderId="14" xfId="3" applyFill="1" applyBorder="1" applyAlignment="1">
      <alignment horizontal="center" vertical="center"/>
    </xf>
    <xf numFmtId="0" fontId="48" fillId="9" borderId="15" xfId="3" applyFill="1" applyBorder="1" applyAlignment="1">
      <alignment horizontal="center" vertical="center"/>
    </xf>
    <xf numFmtId="0" fontId="16" fillId="0" borderId="13" xfId="2" applyFont="1" applyFill="1" applyBorder="1" applyAlignment="1">
      <alignment horizontal="left" vertical="center"/>
    </xf>
    <xf numFmtId="0" fontId="16" fillId="0" borderId="14" xfId="2" applyFont="1" applyFill="1" applyBorder="1" applyAlignment="1">
      <alignment horizontal="left" vertical="center"/>
    </xf>
    <xf numFmtId="0" fontId="16" fillId="0" borderId="15" xfId="2" applyFont="1" applyFill="1" applyBorder="1" applyAlignment="1">
      <alignment horizontal="left" vertical="center"/>
    </xf>
    <xf numFmtId="0" fontId="16" fillId="0" borderId="4" xfId="2" applyFont="1" applyBorder="1" applyAlignment="1">
      <alignment horizontal="left" vertical="center" wrapText="1"/>
    </xf>
    <xf numFmtId="0" fontId="16" fillId="0" borderId="5" xfId="2" applyFont="1" applyBorder="1" applyAlignment="1">
      <alignment horizontal="left" vertical="center"/>
    </xf>
    <xf numFmtId="0" fontId="16" fillId="0" borderId="6" xfId="2" applyFont="1" applyBorder="1" applyAlignment="1">
      <alignment horizontal="left" vertical="center"/>
    </xf>
    <xf numFmtId="0" fontId="16" fillId="0" borderId="7" xfId="2" quotePrefix="1" applyFont="1" applyBorder="1" applyAlignment="1">
      <alignment horizontal="left" vertical="center" wrapText="1"/>
    </xf>
    <xf numFmtId="0" fontId="16" fillId="0" borderId="0" xfId="2" applyFont="1" applyBorder="1" applyAlignment="1">
      <alignment horizontal="left" vertical="center"/>
    </xf>
    <xf numFmtId="0" fontId="16" fillId="0" borderId="8" xfId="2" applyFont="1" applyBorder="1" applyAlignment="1">
      <alignment horizontal="left" vertical="center"/>
    </xf>
    <xf numFmtId="0" fontId="13" fillId="9" borderId="13" xfId="2" applyFill="1" applyBorder="1" applyAlignment="1">
      <alignment horizontal="center" vertical="center"/>
    </xf>
    <xf numFmtId="0" fontId="13" fillId="9" borderId="15" xfId="2" applyFill="1" applyBorder="1" applyAlignment="1">
      <alignment horizontal="center" vertical="center"/>
    </xf>
    <xf numFmtId="0" fontId="16" fillId="0" borderId="7" xfId="2" applyFont="1" applyBorder="1" applyAlignment="1">
      <alignment horizontal="left" vertical="center"/>
    </xf>
    <xf numFmtId="0" fontId="13" fillId="0" borderId="7" xfId="2" applyBorder="1" applyAlignment="1">
      <alignment horizontal="left" vertical="center" wrapText="1"/>
    </xf>
    <xf numFmtId="0" fontId="13" fillId="0" borderId="0" xfId="2" applyBorder="1" applyAlignment="1">
      <alignment horizontal="left" vertical="center"/>
    </xf>
    <xf numFmtId="0" fontId="13" fillId="0" borderId="8" xfId="2" applyBorder="1" applyAlignment="1">
      <alignment horizontal="left" vertical="center"/>
    </xf>
    <xf numFmtId="0" fontId="13" fillId="0" borderId="0" xfId="2" applyBorder="1" applyAlignment="1">
      <alignment horizontal="left" vertical="center" wrapText="1"/>
    </xf>
    <xf numFmtId="0" fontId="13" fillId="0" borderId="8" xfId="2" applyBorder="1" applyAlignment="1">
      <alignment horizontal="left" vertical="center" wrapText="1"/>
    </xf>
    <xf numFmtId="0" fontId="8" fillId="21" borderId="0" xfId="2" applyFont="1" applyFill="1" applyBorder="1" applyAlignment="1">
      <alignment horizontal="left" vertical="center"/>
    </xf>
    <xf numFmtId="0" fontId="13" fillId="0" borderId="7" xfId="2" applyBorder="1" applyAlignment="1">
      <alignment horizontal="left" vertical="center"/>
    </xf>
    <xf numFmtId="0" fontId="16" fillId="0" borderId="7" xfId="2" applyFont="1" applyBorder="1" applyAlignment="1">
      <alignment horizontal="left" vertical="center" wrapText="1"/>
    </xf>
    <xf numFmtId="0" fontId="13" fillId="0" borderId="9" xfId="2" applyBorder="1" applyAlignment="1">
      <alignment horizontal="left" vertical="center"/>
    </xf>
    <xf numFmtId="0" fontId="13" fillId="0" borderId="10" xfId="2" applyBorder="1" applyAlignment="1">
      <alignment horizontal="left" vertical="center"/>
    </xf>
    <xf numFmtId="0" fontId="13" fillId="0" borderId="11" xfId="2" applyBorder="1" applyAlignment="1">
      <alignment horizontal="left" vertical="center"/>
    </xf>
    <xf numFmtId="0" fontId="9" fillId="0" borderId="4" xfId="2" applyFont="1" applyBorder="1" applyAlignment="1">
      <alignment horizontal="left" vertical="center"/>
    </xf>
    <xf numFmtId="0" fontId="9" fillId="0" borderId="5" xfId="2" applyFont="1" applyBorder="1" applyAlignment="1">
      <alignment horizontal="left" vertical="center"/>
    </xf>
    <xf numFmtId="0" fontId="9" fillId="0" borderId="6" xfId="2" applyFont="1" applyBorder="1" applyAlignment="1">
      <alignment horizontal="left" vertical="center"/>
    </xf>
    <xf numFmtId="0" fontId="16" fillId="0" borderId="7" xfId="2" applyFont="1" applyBorder="1" applyAlignment="1">
      <alignment horizontal="left"/>
    </xf>
    <xf numFmtId="0" fontId="16" fillId="0" borderId="0" xfId="2" applyFont="1" applyBorder="1" applyAlignment="1">
      <alignment horizontal="left"/>
    </xf>
    <xf numFmtId="0" fontId="16" fillId="0" borderId="8" xfId="2" applyFont="1" applyBorder="1" applyAlignment="1">
      <alignment horizontal="left"/>
    </xf>
    <xf numFmtId="0" fontId="16" fillId="0" borderId="7" xfId="2" applyFont="1" applyBorder="1" applyAlignment="1">
      <alignment horizontal="right" vertical="center"/>
    </xf>
    <xf numFmtId="0" fontId="16" fillId="0" borderId="0" xfId="2" applyFont="1" applyBorder="1" applyAlignment="1">
      <alignment horizontal="right" vertical="center"/>
    </xf>
    <xf numFmtId="0" fontId="16" fillId="0" borderId="8" xfId="2" applyFont="1" applyBorder="1" applyAlignment="1">
      <alignment horizontal="right" vertical="center"/>
    </xf>
    <xf numFmtId="0" fontId="7" fillId="18" borderId="13" xfId="2" applyFont="1" applyFill="1" applyBorder="1" applyAlignment="1">
      <alignment horizontal="center" vertical="center" shrinkToFit="1"/>
    </xf>
    <xf numFmtId="0" fontId="7" fillId="18" borderId="14" xfId="2" applyFont="1" applyFill="1" applyBorder="1" applyAlignment="1">
      <alignment horizontal="center" vertical="center" shrinkToFit="1"/>
    </xf>
    <xf numFmtId="0" fontId="7" fillId="18" borderId="15" xfId="2" applyFont="1" applyFill="1" applyBorder="1" applyAlignment="1">
      <alignment horizontal="center" vertical="center" shrinkToFit="1"/>
    </xf>
    <xf numFmtId="0" fontId="16" fillId="0" borderId="4" xfId="2" applyFont="1" applyBorder="1" applyAlignment="1">
      <alignment horizontal="left" vertical="center"/>
    </xf>
    <xf numFmtId="0" fontId="8" fillId="21" borderId="8" xfId="2" applyFont="1" applyFill="1" applyBorder="1" applyAlignment="1">
      <alignment horizontal="left" vertical="center"/>
    </xf>
    <xf numFmtId="0" fontId="42" fillId="19" borderId="78" xfId="0" applyFont="1" applyFill="1" applyBorder="1" applyAlignment="1">
      <alignment horizontal="center" vertical="center"/>
    </xf>
    <xf numFmtId="0" fontId="42" fillId="19" borderId="51" xfId="0" applyFont="1" applyFill="1" applyBorder="1" applyAlignment="1">
      <alignment horizontal="center" vertical="center"/>
    </xf>
    <xf numFmtId="0" fontId="42" fillId="19" borderId="52" xfId="0" applyFont="1" applyFill="1" applyBorder="1" applyAlignment="1">
      <alignment horizontal="center" vertical="center"/>
    </xf>
    <xf numFmtId="0" fontId="34" fillId="19" borderId="42" xfId="0" applyFont="1" applyFill="1" applyBorder="1" applyAlignment="1">
      <alignment horizontal="center" vertical="center" wrapText="1"/>
    </xf>
    <xf numFmtId="0" fontId="34" fillId="19" borderId="3" xfId="0" applyFont="1" applyFill="1" applyBorder="1" applyAlignment="1">
      <alignment horizontal="center" vertical="center" wrapText="1"/>
    </xf>
    <xf numFmtId="0" fontId="19" fillId="11" borderId="42" xfId="0" applyFont="1" applyFill="1" applyBorder="1" applyAlignment="1">
      <alignment horizontal="center" vertical="center" wrapText="1"/>
    </xf>
    <xf numFmtId="0" fontId="19" fillId="11" borderId="3" xfId="0" applyFont="1" applyFill="1" applyBorder="1" applyAlignment="1">
      <alignment horizontal="center" vertical="center" wrapText="1"/>
    </xf>
  </cellXfs>
  <cellStyles count="12">
    <cellStyle name="標準" xfId="0" builtinId="0"/>
    <cellStyle name="標準 2" xfId="2"/>
    <cellStyle name="標準 3" xfId="5"/>
    <cellStyle name="標準 4" xfId="6"/>
    <cellStyle name="標準 4 2" xfId="3"/>
    <cellStyle name="標準 4 2 2" xfId="7"/>
    <cellStyle name="標準 5" xfId="8"/>
    <cellStyle name="標準 5 2" xfId="9"/>
    <cellStyle name="標準 6" xfId="10"/>
    <cellStyle name="標準 7" xfId="11"/>
    <cellStyle name="標準 8" xfId="1"/>
    <cellStyle name="標準 9" xfId="4"/>
  </cellStyles>
  <dxfs count="0"/>
  <tableStyles count="0" defaultTableStyle="TableStyleMedium2" defaultPivotStyle="PivotStyleLight16"/>
  <colors>
    <mruColors>
      <color rgb="FFA61D02"/>
      <color rgb="FF008000"/>
      <color rgb="FF0066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sqref="A1:G1"/>
    </sheetView>
  </sheetViews>
  <sheetFormatPr defaultRowHeight="13.5"/>
  <cols>
    <col min="1" max="6" width="9" style="287"/>
    <col min="7" max="7" width="33.75" style="287" customWidth="1"/>
  </cols>
  <sheetData>
    <row r="1" spans="1:11" ht="17.25">
      <c r="A1" s="533" t="s">
        <v>481</v>
      </c>
      <c r="B1" s="533"/>
      <c r="C1" s="533"/>
      <c r="D1" s="533"/>
      <c r="E1" s="533"/>
      <c r="F1" s="533"/>
      <c r="G1" s="533"/>
    </row>
    <row r="2" spans="1:11" ht="14.25" thickBot="1">
      <c r="A2" s="529"/>
      <c r="B2" s="529"/>
      <c r="C2" s="529"/>
      <c r="D2" s="529"/>
      <c r="E2" s="529"/>
      <c r="F2" s="529"/>
      <c r="G2" s="529"/>
    </row>
    <row r="3" spans="1:11">
      <c r="A3" s="530" t="s">
        <v>598</v>
      </c>
      <c r="B3" s="531"/>
      <c r="C3" s="531"/>
      <c r="D3" s="531"/>
      <c r="E3" s="531"/>
      <c r="F3" s="531"/>
      <c r="G3" s="532"/>
    </row>
    <row r="4" spans="1:11" ht="7.5" customHeight="1">
      <c r="A4" s="519"/>
      <c r="B4" s="520"/>
      <c r="C4" s="520"/>
      <c r="D4" s="520"/>
      <c r="E4" s="520"/>
      <c r="F4" s="520"/>
      <c r="G4" s="521"/>
    </row>
    <row r="5" spans="1:11" ht="14.25">
      <c r="A5" s="516" t="s">
        <v>492</v>
      </c>
      <c r="B5" s="517"/>
      <c r="C5" s="517"/>
      <c r="D5" s="517"/>
      <c r="E5" s="517"/>
      <c r="F5" s="517"/>
      <c r="G5" s="518"/>
    </row>
    <row r="6" spans="1:11">
      <c r="A6" s="522" t="s">
        <v>159</v>
      </c>
      <c r="B6" s="523"/>
      <c r="C6" s="523"/>
      <c r="D6" s="523"/>
      <c r="E6" s="523"/>
      <c r="F6" s="523"/>
      <c r="G6" s="524"/>
    </row>
    <row r="7" spans="1:11">
      <c r="A7" s="519" t="s">
        <v>810</v>
      </c>
      <c r="B7" s="520"/>
      <c r="C7" s="520"/>
      <c r="D7" s="520"/>
      <c r="E7" s="520"/>
      <c r="F7" s="520"/>
      <c r="G7" s="521"/>
    </row>
    <row r="8" spans="1:11" s="287" customFormat="1" ht="14.25">
      <c r="A8" s="516" t="s">
        <v>815</v>
      </c>
      <c r="B8" s="517"/>
      <c r="C8" s="517"/>
      <c r="D8" s="517"/>
      <c r="E8" s="517"/>
      <c r="F8" s="517"/>
      <c r="G8" s="518"/>
      <c r="H8" s="288"/>
    </row>
    <row r="9" spans="1:11" s="287" customFormat="1" ht="13.5" customHeight="1">
      <c r="A9" s="522" t="s">
        <v>816</v>
      </c>
      <c r="B9" s="523"/>
      <c r="C9" s="523"/>
      <c r="D9" s="523"/>
      <c r="E9" s="523"/>
      <c r="F9" s="523"/>
      <c r="G9" s="524"/>
      <c r="H9" s="288"/>
    </row>
    <row r="10" spans="1:11" s="287" customFormat="1" ht="13.5" customHeight="1">
      <c r="A10" s="522" t="s">
        <v>817</v>
      </c>
      <c r="B10" s="523"/>
      <c r="C10" s="523"/>
      <c r="D10" s="523"/>
      <c r="E10" s="523"/>
      <c r="F10" s="523"/>
      <c r="G10" s="524"/>
      <c r="H10" s="288"/>
    </row>
    <row r="11" spans="1:11" s="287" customFormat="1" ht="14.25">
      <c r="A11" s="516" t="s">
        <v>1006</v>
      </c>
      <c r="B11" s="517"/>
      <c r="C11" s="517"/>
      <c r="D11" s="517"/>
      <c r="E11" s="517"/>
      <c r="F11" s="517"/>
      <c r="G11" s="518"/>
      <c r="H11" s="288"/>
    </row>
    <row r="12" spans="1:11" s="287" customFormat="1" ht="13.5" customHeight="1">
      <c r="A12" s="522" t="s">
        <v>1007</v>
      </c>
      <c r="B12" s="523"/>
      <c r="C12" s="523"/>
      <c r="D12" s="523"/>
      <c r="E12" s="523"/>
      <c r="F12" s="523"/>
      <c r="G12" s="524"/>
      <c r="H12" s="288"/>
    </row>
    <row r="13" spans="1:11" s="287" customFormat="1" ht="7.5" customHeight="1">
      <c r="A13" s="519"/>
      <c r="B13" s="520"/>
      <c r="C13" s="520"/>
      <c r="D13" s="520"/>
      <c r="E13" s="520"/>
      <c r="F13" s="520"/>
      <c r="G13" s="521"/>
      <c r="H13" s="288"/>
      <c r="I13" s="288"/>
      <c r="J13" s="288"/>
      <c r="K13" s="288"/>
    </row>
    <row r="14" spans="1:11" s="287" customFormat="1" ht="13.5" customHeight="1">
      <c r="A14" s="519" t="s">
        <v>1008</v>
      </c>
      <c r="B14" s="520"/>
      <c r="C14" s="520"/>
      <c r="D14" s="520"/>
      <c r="E14" s="520"/>
      <c r="F14" s="520"/>
      <c r="G14" s="521"/>
      <c r="H14" s="288"/>
      <c r="I14" s="288"/>
      <c r="J14" s="288"/>
      <c r="K14" s="288"/>
    </row>
    <row r="15" spans="1:11" s="287" customFormat="1">
      <c r="A15" s="522" t="s">
        <v>1010</v>
      </c>
      <c r="B15" s="523"/>
      <c r="C15" s="523"/>
      <c r="D15" s="523"/>
      <c r="E15" s="523"/>
      <c r="F15" s="523"/>
      <c r="G15" s="524"/>
    </row>
    <row r="16" spans="1:11" ht="7.5" customHeight="1" thickBot="1">
      <c r="A16" s="526"/>
      <c r="B16" s="527"/>
      <c r="C16" s="527"/>
      <c r="D16" s="527"/>
      <c r="E16" s="527"/>
      <c r="F16" s="527"/>
      <c r="G16" s="528"/>
    </row>
    <row r="17" spans="1:11" ht="14.25" thickBot="1">
      <c r="A17" s="525"/>
      <c r="B17" s="525"/>
      <c r="C17" s="525"/>
      <c r="D17" s="525"/>
      <c r="E17" s="525"/>
      <c r="F17" s="525"/>
      <c r="G17" s="525"/>
    </row>
    <row r="18" spans="1:11">
      <c r="A18" s="530" t="s">
        <v>879</v>
      </c>
      <c r="B18" s="531"/>
      <c r="C18" s="531"/>
      <c r="D18" s="531"/>
      <c r="E18" s="531"/>
      <c r="F18" s="531"/>
      <c r="G18" s="532"/>
    </row>
    <row r="19" spans="1:11" ht="7.5" customHeight="1">
      <c r="A19" s="519"/>
      <c r="B19" s="520"/>
      <c r="C19" s="520"/>
      <c r="D19" s="520"/>
      <c r="E19" s="520"/>
      <c r="F19" s="520"/>
      <c r="G19" s="521"/>
    </row>
    <row r="20" spans="1:11" s="287" customFormat="1" ht="14.25">
      <c r="A20" s="516" t="s">
        <v>521</v>
      </c>
      <c r="B20" s="517"/>
      <c r="C20" s="517"/>
      <c r="D20" s="517"/>
      <c r="E20" s="517"/>
      <c r="F20" s="517"/>
      <c r="G20" s="518"/>
    </row>
    <row r="21" spans="1:11" s="287" customFormat="1">
      <c r="A21" s="522" t="s">
        <v>510</v>
      </c>
      <c r="B21" s="523"/>
      <c r="C21" s="523"/>
      <c r="D21" s="523"/>
      <c r="E21" s="523"/>
      <c r="F21" s="523"/>
      <c r="G21" s="524"/>
    </row>
    <row r="22" spans="1:11" s="287" customFormat="1">
      <c r="A22" s="519" t="s">
        <v>511</v>
      </c>
      <c r="B22" s="520"/>
      <c r="C22" s="520"/>
      <c r="D22" s="520"/>
      <c r="E22" s="520"/>
      <c r="F22" s="520"/>
      <c r="G22" s="521"/>
    </row>
    <row r="23" spans="1:11" ht="14.25">
      <c r="A23" s="516" t="s">
        <v>149</v>
      </c>
      <c r="B23" s="517"/>
      <c r="C23" s="517"/>
      <c r="D23" s="517"/>
      <c r="E23" s="517"/>
      <c r="F23" s="517"/>
      <c r="G23" s="518"/>
    </row>
    <row r="24" spans="1:11">
      <c r="A24" s="522" t="s">
        <v>284</v>
      </c>
      <c r="B24" s="523"/>
      <c r="C24" s="523"/>
      <c r="D24" s="523"/>
      <c r="E24" s="523"/>
      <c r="F24" s="523"/>
      <c r="G24" s="524"/>
    </row>
    <row r="25" spans="1:11">
      <c r="A25" s="522" t="s">
        <v>480</v>
      </c>
      <c r="B25" s="523"/>
      <c r="C25" s="523"/>
      <c r="D25" s="523"/>
      <c r="E25" s="523"/>
      <c r="F25" s="523"/>
      <c r="G25" s="524"/>
    </row>
    <row r="26" spans="1:11" s="287" customFormat="1" ht="14.25">
      <c r="A26" s="516" t="s">
        <v>148</v>
      </c>
      <c r="B26" s="517"/>
      <c r="C26" s="517"/>
      <c r="D26" s="517"/>
      <c r="E26" s="517"/>
      <c r="F26" s="517"/>
      <c r="G26" s="518"/>
      <c r="H26" s="288"/>
    </row>
    <row r="27" spans="1:11" s="287" customFormat="1" ht="13.5" customHeight="1">
      <c r="A27" s="522" t="s">
        <v>512</v>
      </c>
      <c r="B27" s="523"/>
      <c r="C27" s="523"/>
      <c r="D27" s="523"/>
      <c r="E27" s="523"/>
      <c r="F27" s="523"/>
      <c r="G27" s="524"/>
      <c r="H27" s="288"/>
      <c r="I27" s="288"/>
      <c r="J27" s="288"/>
      <c r="K27" s="288"/>
    </row>
    <row r="28" spans="1:11" s="287" customFormat="1" ht="7.5" customHeight="1">
      <c r="A28" s="522"/>
      <c r="B28" s="523"/>
      <c r="C28" s="523"/>
      <c r="D28" s="523"/>
      <c r="E28" s="523"/>
      <c r="F28" s="523"/>
      <c r="G28" s="524"/>
      <c r="H28" s="288"/>
      <c r="I28" s="288"/>
      <c r="J28" s="288"/>
      <c r="K28" s="288"/>
    </row>
    <row r="29" spans="1:11" s="287" customFormat="1" ht="13.5" customHeight="1">
      <c r="A29" s="519" t="s">
        <v>1011</v>
      </c>
      <c r="B29" s="520"/>
      <c r="C29" s="520"/>
      <c r="D29" s="520"/>
      <c r="E29" s="520"/>
      <c r="F29" s="520"/>
      <c r="G29" s="521"/>
      <c r="H29" s="288"/>
      <c r="I29" s="288"/>
      <c r="J29" s="288"/>
      <c r="K29" s="288"/>
    </row>
    <row r="30" spans="1:11" ht="7.5" customHeight="1" thickBot="1">
      <c r="A30" s="526"/>
      <c r="B30" s="527"/>
      <c r="C30" s="527"/>
      <c r="D30" s="527"/>
      <c r="E30" s="527"/>
      <c r="F30" s="527"/>
      <c r="G30" s="528"/>
    </row>
    <row r="31" spans="1:11" ht="14.25" thickBot="1">
      <c r="A31" s="529"/>
      <c r="B31" s="529"/>
      <c r="C31" s="529"/>
      <c r="D31" s="529"/>
      <c r="E31" s="529"/>
      <c r="F31" s="529"/>
      <c r="G31" s="529"/>
    </row>
    <row r="32" spans="1:11">
      <c r="A32" s="530" t="s">
        <v>878</v>
      </c>
      <c r="B32" s="531"/>
      <c r="C32" s="531"/>
      <c r="D32" s="531"/>
      <c r="E32" s="531"/>
      <c r="F32" s="531"/>
      <c r="G32" s="532"/>
    </row>
    <row r="33" spans="1:11" ht="7.5" customHeight="1">
      <c r="A33" s="519"/>
      <c r="B33" s="520"/>
      <c r="C33" s="520"/>
      <c r="D33" s="520"/>
      <c r="E33" s="520"/>
      <c r="F33" s="520"/>
      <c r="G33" s="521"/>
    </row>
    <row r="34" spans="1:11" s="287" customFormat="1" ht="14.25">
      <c r="A34" s="516" t="s">
        <v>437</v>
      </c>
      <c r="B34" s="517"/>
      <c r="C34" s="517"/>
      <c r="D34" s="517"/>
      <c r="E34" s="517"/>
      <c r="F34" s="517"/>
      <c r="G34" s="518"/>
      <c r="H34" s="288"/>
    </row>
    <row r="35" spans="1:11" s="287" customFormat="1" ht="13.5" customHeight="1">
      <c r="A35" s="522" t="s">
        <v>514</v>
      </c>
      <c r="B35" s="523"/>
      <c r="C35" s="523"/>
      <c r="D35" s="523"/>
      <c r="E35" s="523"/>
      <c r="F35" s="523"/>
      <c r="G35" s="524"/>
      <c r="H35" s="288"/>
      <c r="I35" s="288"/>
      <c r="J35" s="288"/>
      <c r="K35" s="288"/>
    </row>
    <row r="36" spans="1:11" s="287" customFormat="1" ht="13.5" customHeight="1">
      <c r="A36" s="519" t="s">
        <v>513</v>
      </c>
      <c r="B36" s="520"/>
      <c r="C36" s="520"/>
      <c r="D36" s="520"/>
      <c r="E36" s="520"/>
      <c r="F36" s="520"/>
      <c r="G36" s="521"/>
      <c r="H36" s="288"/>
      <c r="I36" s="288"/>
      <c r="J36" s="288"/>
      <c r="K36" s="288"/>
    </row>
    <row r="37" spans="1:11" s="287" customFormat="1" ht="14.25">
      <c r="A37" s="516" t="s">
        <v>147</v>
      </c>
      <c r="B37" s="517"/>
      <c r="C37" s="517"/>
      <c r="D37" s="517"/>
      <c r="E37" s="517"/>
      <c r="F37" s="517"/>
      <c r="G37" s="518"/>
      <c r="H37" s="288"/>
    </row>
    <row r="38" spans="1:11" s="287" customFormat="1" ht="13.5" customHeight="1">
      <c r="A38" s="522" t="s">
        <v>519</v>
      </c>
      <c r="B38" s="523"/>
      <c r="C38" s="523"/>
      <c r="D38" s="523"/>
      <c r="E38" s="523"/>
      <c r="F38" s="523"/>
      <c r="G38" s="524"/>
      <c r="H38"/>
      <c r="I38" s="288"/>
      <c r="J38" s="288"/>
      <c r="K38" s="288"/>
    </row>
    <row r="39" spans="1:11" s="287" customFormat="1" ht="14.25">
      <c r="A39" s="516" t="s">
        <v>809</v>
      </c>
      <c r="B39" s="517"/>
      <c r="C39" s="517"/>
      <c r="D39" s="517"/>
      <c r="E39" s="517"/>
      <c r="F39" s="517"/>
      <c r="G39" s="518"/>
      <c r="H39" s="288"/>
    </row>
    <row r="40" spans="1:11" s="287" customFormat="1" ht="13.5" customHeight="1">
      <c r="A40" s="522" t="s">
        <v>873</v>
      </c>
      <c r="B40" s="523"/>
      <c r="C40" s="523"/>
      <c r="D40" s="523"/>
      <c r="E40" s="523"/>
      <c r="F40" s="523"/>
      <c r="G40" s="524"/>
      <c r="H40" s="288"/>
    </row>
    <row r="41" spans="1:11" s="287" customFormat="1" ht="13.5" customHeight="1">
      <c r="A41" s="522" t="s">
        <v>812</v>
      </c>
      <c r="B41" s="523"/>
      <c r="C41" s="523"/>
      <c r="D41" s="523"/>
      <c r="E41" s="523"/>
      <c r="F41" s="523"/>
      <c r="G41" s="524"/>
      <c r="H41" s="288"/>
    </row>
    <row r="42" spans="1:11" s="287" customFormat="1" ht="14.25">
      <c r="A42" s="516" t="s">
        <v>973</v>
      </c>
      <c r="B42" s="517"/>
      <c r="C42" s="517"/>
      <c r="D42" s="517"/>
      <c r="E42" s="517"/>
      <c r="F42" s="517"/>
      <c r="G42" s="518"/>
      <c r="H42" s="288"/>
    </row>
    <row r="43" spans="1:11" s="287" customFormat="1" ht="13.5" customHeight="1">
      <c r="A43" s="522" t="s">
        <v>440</v>
      </c>
      <c r="B43" s="523"/>
      <c r="C43" s="523"/>
      <c r="D43" s="523"/>
      <c r="E43" s="523"/>
      <c r="F43" s="523"/>
      <c r="G43" s="524"/>
      <c r="H43" s="288"/>
      <c r="I43" s="288"/>
      <c r="J43" s="288"/>
      <c r="K43" s="288"/>
    </row>
    <row r="44" spans="1:11" s="287" customFormat="1" ht="13.5" customHeight="1">
      <c r="A44" s="519" t="s">
        <v>515</v>
      </c>
      <c r="B44" s="520"/>
      <c r="C44" s="520"/>
      <c r="D44" s="520"/>
      <c r="E44" s="520"/>
      <c r="F44" s="520"/>
      <c r="G44" s="521"/>
      <c r="H44" s="288"/>
      <c r="I44" s="288"/>
      <c r="J44" s="288"/>
      <c r="K44" s="288"/>
    </row>
    <row r="45" spans="1:11" s="287" customFormat="1" ht="13.5" customHeight="1">
      <c r="A45" s="519" t="s">
        <v>516</v>
      </c>
      <c r="B45" s="520"/>
      <c r="C45" s="520"/>
      <c r="D45" s="520"/>
      <c r="E45" s="520"/>
      <c r="F45" s="520"/>
      <c r="G45" s="521"/>
      <c r="H45" s="288"/>
      <c r="I45" s="288"/>
      <c r="J45" s="288"/>
      <c r="K45" s="288"/>
    </row>
    <row r="46" spans="1:11">
      <c r="A46" s="522" t="s">
        <v>520</v>
      </c>
      <c r="B46" s="523"/>
      <c r="C46" s="523"/>
      <c r="D46" s="523"/>
      <c r="E46" s="523"/>
      <c r="F46" s="523"/>
      <c r="G46" s="524"/>
    </row>
    <row r="47" spans="1:11" s="287" customFormat="1" ht="14.25">
      <c r="A47" s="516" t="s">
        <v>1012</v>
      </c>
      <c r="B47" s="517"/>
      <c r="C47" s="517"/>
      <c r="D47" s="517"/>
      <c r="E47" s="517"/>
      <c r="F47" s="517"/>
      <c r="G47" s="518"/>
      <c r="H47" s="288"/>
    </row>
    <row r="48" spans="1:11" s="287" customFormat="1" ht="13.5" customHeight="1">
      <c r="A48" s="522" t="s">
        <v>1013</v>
      </c>
      <c r="B48" s="523"/>
      <c r="C48" s="523"/>
      <c r="D48" s="523"/>
      <c r="E48" s="523"/>
      <c r="F48" s="523"/>
      <c r="G48" s="524"/>
      <c r="H48" s="288"/>
      <c r="I48" s="288"/>
      <c r="J48" s="288"/>
      <c r="K48" s="288"/>
    </row>
    <row r="49" spans="1:11" s="287" customFormat="1">
      <c r="A49" s="522" t="s">
        <v>1014</v>
      </c>
      <c r="B49" s="523"/>
      <c r="C49" s="523"/>
      <c r="D49" s="523"/>
      <c r="E49" s="523"/>
      <c r="F49" s="523"/>
      <c r="G49" s="524"/>
      <c r="H49" s="288"/>
    </row>
    <row r="50" spans="1:11" s="287" customFormat="1" ht="13.5" customHeight="1">
      <c r="A50" s="522" t="s">
        <v>1015</v>
      </c>
      <c r="B50" s="523"/>
      <c r="C50" s="523"/>
      <c r="D50" s="523"/>
      <c r="E50" s="523"/>
      <c r="F50" s="523"/>
      <c r="G50" s="524"/>
      <c r="H50" s="288"/>
      <c r="I50" s="288"/>
      <c r="J50" s="288"/>
      <c r="K50" s="288"/>
    </row>
    <row r="51" spans="1:11" s="287" customFormat="1" ht="14.25">
      <c r="A51" s="516" t="s">
        <v>517</v>
      </c>
      <c r="B51" s="517"/>
      <c r="C51" s="517"/>
      <c r="D51" s="517"/>
      <c r="E51" s="517"/>
      <c r="F51" s="517"/>
      <c r="G51" s="518"/>
      <c r="H51" s="288"/>
    </row>
    <row r="52" spans="1:11" s="287" customFormat="1" ht="13.5" customHeight="1">
      <c r="A52" s="522" t="s">
        <v>1016</v>
      </c>
      <c r="B52" s="523"/>
      <c r="C52" s="523"/>
      <c r="D52" s="523"/>
      <c r="E52" s="523"/>
      <c r="F52" s="523"/>
      <c r="G52" s="524"/>
      <c r="H52" s="288"/>
      <c r="I52" s="288"/>
      <c r="J52" s="288"/>
      <c r="K52" s="288"/>
    </row>
    <row r="53" spans="1:11">
      <c r="A53" s="522" t="s">
        <v>518</v>
      </c>
      <c r="B53" s="523"/>
      <c r="C53" s="523"/>
      <c r="D53" s="523"/>
      <c r="E53" s="523"/>
      <c r="F53" s="523"/>
      <c r="G53" s="524"/>
    </row>
    <row r="54" spans="1:11" s="287" customFormat="1" ht="7.5" customHeight="1">
      <c r="A54" s="522"/>
      <c r="B54" s="523"/>
      <c r="C54" s="523"/>
      <c r="D54" s="523"/>
      <c r="E54" s="523"/>
      <c r="F54" s="523"/>
      <c r="G54" s="524"/>
      <c r="H54" s="288"/>
      <c r="I54" s="288"/>
      <c r="J54" s="288"/>
      <c r="K54" s="288"/>
    </row>
    <row r="55" spans="1:11" s="287" customFormat="1" ht="13.5" customHeight="1">
      <c r="A55" s="519" t="s">
        <v>1017</v>
      </c>
      <c r="B55" s="520"/>
      <c r="C55" s="520"/>
      <c r="D55" s="520"/>
      <c r="E55" s="520"/>
      <c r="F55" s="520"/>
      <c r="G55" s="521"/>
      <c r="H55" s="288"/>
      <c r="I55" s="288"/>
      <c r="J55" s="288"/>
      <c r="K55" s="288"/>
    </row>
    <row r="56" spans="1:11" s="287" customFormat="1" ht="13.5" customHeight="1">
      <c r="A56" s="519" t="s">
        <v>880</v>
      </c>
      <c r="B56" s="520"/>
      <c r="C56" s="520"/>
      <c r="D56" s="520"/>
      <c r="E56" s="520"/>
      <c r="F56" s="520"/>
      <c r="G56" s="521"/>
      <c r="H56" s="288"/>
      <c r="I56" s="288"/>
      <c r="J56" s="288"/>
      <c r="K56" s="288"/>
    </row>
    <row r="57" spans="1:11" s="287" customFormat="1" ht="13.5" customHeight="1">
      <c r="A57" s="519" t="s">
        <v>881</v>
      </c>
      <c r="B57" s="520"/>
      <c r="C57" s="520"/>
      <c r="D57" s="520"/>
      <c r="E57" s="520"/>
      <c r="F57" s="520"/>
      <c r="G57" s="521"/>
      <c r="H57" s="288"/>
      <c r="I57" s="288"/>
      <c r="J57" s="288"/>
      <c r="K57" s="288"/>
    </row>
    <row r="58" spans="1:11" s="287" customFormat="1">
      <c r="A58" s="519" t="s">
        <v>524</v>
      </c>
      <c r="B58" s="520"/>
      <c r="C58" s="520"/>
      <c r="D58" s="520"/>
      <c r="E58" s="520"/>
      <c r="F58" s="520"/>
      <c r="G58" s="521"/>
    </row>
    <row r="59" spans="1:11" s="287" customFormat="1" ht="13.5" customHeight="1">
      <c r="A59" s="519" t="s">
        <v>1018</v>
      </c>
      <c r="B59" s="520"/>
      <c r="C59" s="520"/>
      <c r="D59" s="520"/>
      <c r="E59" s="520"/>
      <c r="F59" s="520"/>
      <c r="G59" s="521"/>
      <c r="H59" s="288"/>
      <c r="I59" s="288"/>
      <c r="J59" s="288"/>
      <c r="K59" s="288"/>
    </row>
    <row r="60" spans="1:11" ht="7.5" customHeight="1" thickBot="1">
      <c r="A60" s="526"/>
      <c r="B60" s="527"/>
      <c r="C60" s="527"/>
      <c r="D60" s="527"/>
      <c r="E60" s="527"/>
      <c r="F60" s="527"/>
      <c r="G60" s="528"/>
    </row>
  </sheetData>
  <mergeCells count="60">
    <mergeCell ref="A6:G6"/>
    <mergeCell ref="A1:G1"/>
    <mergeCell ref="A2:G2"/>
    <mergeCell ref="A3:G3"/>
    <mergeCell ref="A4:G4"/>
    <mergeCell ref="A5:G5"/>
    <mergeCell ref="A49:G49"/>
    <mergeCell ref="A50:G50"/>
    <mergeCell ref="A47:G47"/>
    <mergeCell ref="A48:G48"/>
    <mergeCell ref="A7:G7"/>
    <mergeCell ref="A16:G16"/>
    <mergeCell ref="A18:G18"/>
    <mergeCell ref="A19:G19"/>
    <mergeCell ref="A23:G23"/>
    <mergeCell ref="A11:G11"/>
    <mergeCell ref="A12:G12"/>
    <mergeCell ref="A13:G13"/>
    <mergeCell ref="A8:G8"/>
    <mergeCell ref="A9:G9"/>
    <mergeCell ref="A10:G10"/>
    <mergeCell ref="A60:G60"/>
    <mergeCell ref="A56:G56"/>
    <mergeCell ref="A53:G53"/>
    <mergeCell ref="A58:G58"/>
    <mergeCell ref="A59:G59"/>
    <mergeCell ref="A57:G57"/>
    <mergeCell ref="A42:G42"/>
    <mergeCell ref="A32:G32"/>
    <mergeCell ref="A33:G33"/>
    <mergeCell ref="A43:G43"/>
    <mergeCell ref="A44:G44"/>
    <mergeCell ref="A37:G37"/>
    <mergeCell ref="A38:G38"/>
    <mergeCell ref="A34:G34"/>
    <mergeCell ref="A35:G35"/>
    <mergeCell ref="A36:G36"/>
    <mergeCell ref="A30:G30"/>
    <mergeCell ref="A31:G31"/>
    <mergeCell ref="A20:G20"/>
    <mergeCell ref="A21:G21"/>
    <mergeCell ref="A22:G22"/>
    <mergeCell ref="A27:G27"/>
    <mergeCell ref="A28:G28"/>
    <mergeCell ref="A51:G51"/>
    <mergeCell ref="A14:G14"/>
    <mergeCell ref="A15:G15"/>
    <mergeCell ref="A55:G55"/>
    <mergeCell ref="A26:G26"/>
    <mergeCell ref="A45:G45"/>
    <mergeCell ref="A17:G17"/>
    <mergeCell ref="A39:G39"/>
    <mergeCell ref="A40:G40"/>
    <mergeCell ref="A41:G41"/>
    <mergeCell ref="A52:G52"/>
    <mergeCell ref="A54:G54"/>
    <mergeCell ref="A29:G29"/>
    <mergeCell ref="A46:G46"/>
    <mergeCell ref="A24:G24"/>
    <mergeCell ref="A25:G25"/>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9"/>
  <sheetViews>
    <sheetView topLeftCell="A4" zoomScaleNormal="100" workbookViewId="0">
      <selection activeCell="A24" sqref="A24:G24"/>
    </sheetView>
  </sheetViews>
  <sheetFormatPr defaultRowHeight="13.5"/>
  <cols>
    <col min="1" max="1" width="7.875" style="133" customWidth="1"/>
    <col min="2" max="2" width="8.5" style="133" customWidth="1"/>
    <col min="3" max="3" width="6.625" style="133" customWidth="1"/>
    <col min="4" max="4" width="15.75" style="133" customWidth="1"/>
    <col min="5" max="6" width="15.75" style="88" customWidth="1"/>
    <col min="7" max="7" width="18.25" style="88" customWidth="1"/>
    <col min="8" max="8" width="17.375" style="88" customWidth="1"/>
    <col min="9" max="9" width="14.625" style="88" customWidth="1"/>
    <col min="10" max="10" width="8.375" style="88" customWidth="1"/>
    <col min="11" max="11" width="7.5" style="88" customWidth="1"/>
    <col min="12" max="13" width="7.875" style="133" customWidth="1"/>
    <col min="14" max="14" width="9.25" style="133" customWidth="1"/>
    <col min="15" max="15" width="12.375" style="133" customWidth="1"/>
    <col min="16" max="16384" width="9" style="133"/>
  </cols>
  <sheetData>
    <row r="1" spans="1:13" ht="21">
      <c r="A1" s="253"/>
      <c r="B1" s="676" t="s">
        <v>183</v>
      </c>
      <c r="C1" s="677"/>
      <c r="D1" s="40" t="s">
        <v>39</v>
      </c>
      <c r="E1" s="41" t="s">
        <v>56</v>
      </c>
      <c r="F1" s="678"/>
      <c r="G1" s="679"/>
      <c r="H1" s="93" t="s">
        <v>54</v>
      </c>
    </row>
    <row r="2" spans="1:13" ht="24.75" customHeight="1">
      <c r="A2" s="40" t="s">
        <v>0</v>
      </c>
      <c r="B2" s="680" t="s">
        <v>188</v>
      </c>
      <c r="C2" s="680"/>
      <c r="D2" s="680"/>
      <c r="E2" s="680"/>
      <c r="F2" s="680"/>
      <c r="G2" s="680"/>
      <c r="H2" s="93" t="s">
        <v>55</v>
      </c>
    </row>
    <row r="3" spans="1:13" ht="19.5" customHeight="1">
      <c r="A3" s="99" t="s">
        <v>47</v>
      </c>
      <c r="B3" s="88"/>
      <c r="C3" s="88"/>
      <c r="D3" s="88"/>
      <c r="I3" s="93"/>
    </row>
    <row r="4" spans="1:13">
      <c r="A4" s="72" t="s">
        <v>45</v>
      </c>
      <c r="B4" s="628" t="s">
        <v>184</v>
      </c>
      <c r="C4" s="629"/>
      <c r="D4" s="629"/>
      <c r="E4" s="629"/>
      <c r="F4" s="629"/>
      <c r="G4" s="630"/>
      <c r="H4" s="539" t="s">
        <v>339</v>
      </c>
      <c r="I4" s="540"/>
      <c r="J4" s="540"/>
      <c r="K4" s="540"/>
      <c r="L4" s="541"/>
    </row>
    <row r="5" spans="1:13">
      <c r="A5" s="73" t="s">
        <v>38</v>
      </c>
      <c r="B5" s="628" t="s">
        <v>138</v>
      </c>
      <c r="C5" s="629"/>
      <c r="D5" s="629"/>
      <c r="E5" s="629"/>
      <c r="F5" s="629"/>
      <c r="G5" s="630"/>
      <c r="H5" s="155" t="s">
        <v>42</v>
      </c>
      <c r="I5" s="157" t="s">
        <v>87</v>
      </c>
      <c r="J5" s="157"/>
    </row>
    <row r="6" spans="1:13">
      <c r="A6" s="73" t="s">
        <v>7</v>
      </c>
      <c r="B6" s="709" t="s">
        <v>189</v>
      </c>
      <c r="C6" s="710"/>
      <c r="D6" s="711"/>
      <c r="E6" s="155" t="s">
        <v>42</v>
      </c>
      <c r="F6" s="154" t="str">
        <f>IF($I$5 = 0,"", $I$5)</f>
        <v>使用者</v>
      </c>
      <c r="G6" s="154" t="str">
        <f>IF($J$5 = 0,"", $J$5)</f>
        <v/>
      </c>
      <c r="H6" s="155" t="s">
        <v>65</v>
      </c>
      <c r="I6" s="157"/>
      <c r="J6" s="157"/>
    </row>
    <row r="7" spans="1:13">
      <c r="A7" s="74" t="s">
        <v>6</v>
      </c>
      <c r="B7" s="628"/>
      <c r="C7" s="629"/>
      <c r="D7" s="630"/>
      <c r="E7" s="155" t="s">
        <v>65</v>
      </c>
      <c r="F7" s="154" t="str">
        <f>IF($I$6 = 0,"", $I$6)</f>
        <v/>
      </c>
      <c r="G7" s="154" t="str">
        <f>IF($J$6 = 0,"", $J$6)</f>
        <v/>
      </c>
      <c r="H7" s="155" t="s">
        <v>84</v>
      </c>
      <c r="I7" s="157" t="s">
        <v>112</v>
      </c>
      <c r="J7" s="93" t="s">
        <v>61</v>
      </c>
      <c r="L7" s="230" t="s">
        <v>343</v>
      </c>
      <c r="M7" s="111"/>
    </row>
    <row r="8" spans="1:13" ht="13.5" customHeight="1">
      <c r="A8" s="75" t="s">
        <v>125</v>
      </c>
      <c r="B8" s="642" t="s">
        <v>190</v>
      </c>
      <c r="C8" s="643"/>
      <c r="D8" s="643"/>
      <c r="E8" s="643"/>
      <c r="F8" s="643"/>
      <c r="G8" s="644"/>
      <c r="H8" s="155" t="s">
        <v>50</v>
      </c>
      <c r="I8" s="157" t="s">
        <v>139</v>
      </c>
      <c r="J8" s="154">
        <f>IF($I$8 = "筋力",基本!$C$5,IF($I$8 = "耐久力",基本!$C$6,IF($I$8 = "敏捷力",基本!$C$7,IF($I$8 = "知力",基本!$C$8,IF($I$8 = "判断力",基本!$C$9,IF($I$8 = "判断力",基本!$C$10,""))))))</f>
        <v>7</v>
      </c>
      <c r="K8" s="157" t="s">
        <v>89</v>
      </c>
      <c r="L8" s="229">
        <f>$J$8+$L$9+$I$9</f>
        <v>23</v>
      </c>
      <c r="M8" s="111"/>
    </row>
    <row r="9" spans="1:13" ht="13.5" customHeight="1">
      <c r="A9" s="77"/>
      <c r="B9" s="651"/>
      <c r="C9" s="652"/>
      <c r="D9" s="652"/>
      <c r="E9" s="652"/>
      <c r="F9" s="652"/>
      <c r="G9" s="712"/>
      <c r="H9" s="155" t="s">
        <v>57</v>
      </c>
      <c r="I9" s="157">
        <v>1</v>
      </c>
      <c r="J9" s="539" t="s">
        <v>52</v>
      </c>
      <c r="K9" s="541"/>
      <c r="L9" s="154">
        <f>IF($I$7=基本!$F$4,基本!$O$7,IF($I$7=基本!$F$13,基本!$O$16,IF($I$7=基本!$F$22,基本!$O$25,IF($I$7=基本!$F$31,基本!$O$34,IF($I$7=基本!$F$40,基本!$O$43,0)))))</f>
        <v>15</v>
      </c>
      <c r="M9" s="111"/>
    </row>
    <row r="10" spans="1:13" ht="13.5" customHeight="1">
      <c r="A10" s="75" t="s">
        <v>60</v>
      </c>
      <c r="B10" s="642" t="s">
        <v>191</v>
      </c>
      <c r="C10" s="643"/>
      <c r="D10" s="643"/>
      <c r="E10" s="643"/>
      <c r="F10" s="643"/>
      <c r="G10" s="644"/>
      <c r="H10" s="158" t="s">
        <v>51</v>
      </c>
      <c r="I10" s="157" t="s">
        <v>139</v>
      </c>
      <c r="J10" s="97">
        <f>IF($I$8 = "筋力",基本!$C$5,IF($I$10 = "耐久力",基本!$C$6,IF($I$10 = "敏捷力",基本!$C$7,IF($I$10 = "知力",基本!$C$8,IF($I$10 = "判断力",基本!$C$9,IF($I$10 = "判断力",基本!$C$10,""))))))</f>
        <v>7</v>
      </c>
      <c r="L10" s="88"/>
      <c r="M10" s="111"/>
    </row>
    <row r="11" spans="1:13" ht="13.5" customHeight="1">
      <c r="A11" s="76"/>
      <c r="B11" s="614" t="s">
        <v>192</v>
      </c>
      <c r="C11" s="520"/>
      <c r="D11" s="520"/>
      <c r="E11" s="520"/>
      <c r="F11" s="520"/>
      <c r="G11" s="615"/>
      <c r="H11" s="155" t="s">
        <v>58</v>
      </c>
      <c r="I11" s="157">
        <v>0</v>
      </c>
      <c r="J11" s="539" t="s">
        <v>53</v>
      </c>
      <c r="K11" s="541"/>
      <c r="L11" s="154">
        <f>IF($I$7=基本!$F$4,基本!$O$9,IF($I$7=基本!$F$13,基本!$O$18,IF($I$7=基本!$F$22,基本!$O$27,IF($I$7=基本!$F$31,基本!$O$36,IF($I$7=基本!$F$40,基本!$O$45,0)))))</f>
        <v>4</v>
      </c>
      <c r="M11" s="111"/>
    </row>
    <row r="12" spans="1:13" ht="13.5" customHeight="1">
      <c r="A12" s="76"/>
      <c r="B12" s="713"/>
      <c r="C12" s="714"/>
      <c r="D12" s="714"/>
      <c r="E12" s="714"/>
      <c r="F12" s="714"/>
      <c r="G12" s="715"/>
      <c r="H12" s="110"/>
      <c r="I12" s="110"/>
      <c r="L12" s="230" t="s">
        <v>343</v>
      </c>
      <c r="M12" s="111"/>
    </row>
    <row r="13" spans="1:13" ht="17.25">
      <c r="A13" s="76"/>
      <c r="B13" s="672" t="str">
        <f>"使用者の次の１回の攻撃Rに " &amp; $L$15 &amp; " ボーナス"</f>
        <v>使用者の次の１回の攻撃Rに 3 ボーナス</v>
      </c>
      <c r="C13" s="673"/>
      <c r="D13" s="673"/>
      <c r="E13" s="673"/>
      <c r="F13" s="673"/>
      <c r="G13" s="674"/>
      <c r="H13" s="219" t="s">
        <v>85</v>
      </c>
      <c r="I13" s="157">
        <v>1</v>
      </c>
      <c r="J13" s="155" t="s">
        <v>43</v>
      </c>
      <c r="K13" s="157">
        <v>10</v>
      </c>
      <c r="L13" s="229">
        <f>$J$10+$L$11+$I$11</f>
        <v>11</v>
      </c>
      <c r="M13" s="111"/>
    </row>
    <row r="14" spans="1:13" ht="13.5" customHeight="1">
      <c r="A14" s="76"/>
      <c r="B14" s="614"/>
      <c r="C14" s="520"/>
      <c r="D14" s="520"/>
      <c r="E14" s="520"/>
      <c r="F14" s="520"/>
      <c r="G14" s="615"/>
      <c r="H14" s="155" t="s">
        <v>49</v>
      </c>
      <c r="I14" s="32">
        <f>IF($I$7=基本!$F$4,基本!$L$11,IF($I$7=基本!$F$13,基本!$L$20,IF($I$7=基本!$F$22,基本!$L$29,IF($I$7=基本!$F$31,基本!$L$38,IF($I$7=基本!$F$40,基本!$L$47,0)))))</f>
        <v>5</v>
      </c>
      <c r="J14" s="219" t="s">
        <v>341</v>
      </c>
      <c r="K14" s="32">
        <f>IF($I$7=基本!$F$4,基本!$N$11,IF($I$7=基本!$F$13,基本!$N$20,IF($I$7=基本!$F$22,基本!$N$29,IF($I$7=基本!$F$31,基本!$N$38,IF($I$7=基本!$F$40,基本!$N$47,0)))))</f>
        <v>12</v>
      </c>
      <c r="L14" s="229">
        <f>$J$10+$L$11+$I$11+($I$13*$K$13)</f>
        <v>21</v>
      </c>
      <c r="M14" s="111"/>
    </row>
    <row r="15" spans="1:13" ht="13.5" customHeight="1">
      <c r="A15" s="76"/>
      <c r="B15" s="614"/>
      <c r="C15" s="520"/>
      <c r="D15" s="520"/>
      <c r="E15" s="520"/>
      <c r="F15" s="520"/>
      <c r="G15" s="615"/>
      <c r="H15" s="155" t="s">
        <v>59</v>
      </c>
      <c r="I15" s="157"/>
      <c r="J15" s="219" t="s">
        <v>342</v>
      </c>
      <c r="K15" s="220" t="s">
        <v>15</v>
      </c>
      <c r="L15" s="218">
        <f>IF(K15="",0,VLOOKUP(K15,基本!$A$5:'基本'!$C$10,3,FALSE))</f>
        <v>3</v>
      </c>
      <c r="M15" s="111"/>
    </row>
    <row r="16" spans="1:13" ht="13.5" customHeight="1">
      <c r="A16" s="76"/>
      <c r="B16" s="614"/>
      <c r="C16" s="520"/>
      <c r="D16" s="520"/>
      <c r="E16" s="520"/>
      <c r="F16" s="520"/>
      <c r="G16" s="615"/>
    </row>
    <row r="17" spans="1:13" ht="13.5" customHeight="1">
      <c r="A17" s="76"/>
      <c r="B17" s="614"/>
      <c r="C17" s="520"/>
      <c r="D17" s="520"/>
      <c r="E17" s="520"/>
      <c r="F17" s="520"/>
      <c r="G17" s="615"/>
      <c r="J17" s="133"/>
      <c r="K17" s="133"/>
    </row>
    <row r="18" spans="1:13" ht="13.5" customHeight="1">
      <c r="A18" s="77"/>
      <c r="B18" s="716"/>
      <c r="C18" s="717"/>
      <c r="D18" s="717"/>
      <c r="E18" s="717"/>
      <c r="F18" s="717"/>
      <c r="G18" s="718"/>
      <c r="J18" s="133"/>
      <c r="K18" s="133"/>
    </row>
    <row r="19" spans="1:13">
      <c r="A19" s="717"/>
      <c r="B19" s="717"/>
      <c r="C19" s="717"/>
      <c r="D19" s="717"/>
      <c r="E19" s="717"/>
      <c r="F19" s="717"/>
      <c r="G19" s="717"/>
    </row>
    <row r="20" spans="1:13" ht="13.5" customHeight="1">
      <c r="A20" s="619" t="s">
        <v>48</v>
      </c>
      <c r="B20" s="620"/>
      <c r="C20" s="620"/>
      <c r="D20" s="620"/>
      <c r="E20" s="620"/>
      <c r="F20" s="620"/>
      <c r="G20" s="621"/>
    </row>
    <row r="21" spans="1:13" s="110" customFormat="1" ht="13.5" customHeight="1">
      <c r="A21" s="719"/>
      <c r="B21" s="720"/>
      <c r="C21" s="720"/>
      <c r="D21" s="720"/>
      <c r="E21" s="720"/>
      <c r="F21" s="720"/>
      <c r="G21" s="721"/>
      <c r="L21" s="111"/>
      <c r="M21" s="111"/>
    </row>
    <row r="22" spans="1:13" s="110" customFormat="1" ht="13.5" customHeight="1">
      <c r="A22" s="645" t="s">
        <v>423</v>
      </c>
      <c r="B22" s="646"/>
      <c r="C22" s="646"/>
      <c r="D22" s="646"/>
      <c r="E22" s="646"/>
      <c r="F22" s="646"/>
      <c r="G22" s="647"/>
      <c r="L22" s="111"/>
      <c r="M22" s="111"/>
    </row>
    <row r="23" spans="1:13" s="110" customFormat="1" ht="13.5" customHeight="1">
      <c r="A23" s="645" t="s">
        <v>424</v>
      </c>
      <c r="B23" s="646"/>
      <c r="C23" s="646"/>
      <c r="D23" s="646"/>
      <c r="E23" s="646"/>
      <c r="F23" s="646"/>
      <c r="G23" s="647"/>
      <c r="L23" s="111"/>
      <c r="M23" s="111"/>
    </row>
    <row r="24" spans="1:13" s="110" customFormat="1" ht="13.5" customHeight="1">
      <c r="A24" s="645" t="s">
        <v>425</v>
      </c>
      <c r="B24" s="646"/>
      <c r="C24" s="646"/>
      <c r="D24" s="646"/>
      <c r="E24" s="646"/>
      <c r="F24" s="646"/>
      <c r="G24" s="647"/>
      <c r="L24" s="111"/>
      <c r="M24" s="111"/>
    </row>
    <row r="25" spans="1:13" s="111" customFormat="1" ht="13.5" customHeight="1">
      <c r="A25" s="645"/>
      <c r="B25" s="646"/>
      <c r="C25" s="646"/>
      <c r="D25" s="646"/>
      <c r="E25" s="646"/>
      <c r="F25" s="646"/>
      <c r="G25" s="647"/>
      <c r="H25" s="110"/>
      <c r="I25" s="110"/>
      <c r="J25" s="110"/>
      <c r="K25" s="110"/>
    </row>
    <row r="26" spans="1:13" s="110" customFormat="1" ht="13.5" customHeight="1">
      <c r="A26" s="645"/>
      <c r="B26" s="646"/>
      <c r="C26" s="646"/>
      <c r="D26" s="646"/>
      <c r="E26" s="646"/>
      <c r="F26" s="646"/>
      <c r="G26" s="647"/>
      <c r="L26" s="111"/>
      <c r="M26" s="111"/>
    </row>
    <row r="27" spans="1:13" s="110" customFormat="1" ht="13.5" customHeight="1">
      <c r="A27" s="645"/>
      <c r="B27" s="646"/>
      <c r="C27" s="646"/>
      <c r="D27" s="646"/>
      <c r="E27" s="646"/>
      <c r="F27" s="646"/>
      <c r="G27" s="647"/>
      <c r="L27" s="111"/>
      <c r="M27" s="111"/>
    </row>
    <row r="28" spans="1:13" s="110" customFormat="1" ht="13.5" customHeight="1">
      <c r="A28" s="645"/>
      <c r="B28" s="646"/>
      <c r="C28" s="646"/>
      <c r="D28" s="646"/>
      <c r="E28" s="646"/>
      <c r="F28" s="646"/>
      <c r="G28" s="647"/>
      <c r="L28" s="111"/>
      <c r="M28" s="111"/>
    </row>
    <row r="29" spans="1:13" s="110" customFormat="1" ht="13.5" customHeight="1">
      <c r="A29" s="645"/>
      <c r="B29" s="646"/>
      <c r="C29" s="646"/>
      <c r="D29" s="646"/>
      <c r="E29" s="646"/>
      <c r="F29" s="646"/>
      <c r="G29" s="647"/>
      <c r="L29" s="111"/>
      <c r="M29" s="111"/>
    </row>
    <row r="30" spans="1:13" s="111" customFormat="1" ht="13.5" customHeight="1">
      <c r="A30" s="645"/>
      <c r="B30" s="646"/>
      <c r="C30" s="646"/>
      <c r="D30" s="646"/>
      <c r="E30" s="646"/>
      <c r="F30" s="646"/>
      <c r="G30" s="647"/>
      <c r="H30" s="110"/>
      <c r="I30" s="110"/>
      <c r="J30" s="110"/>
      <c r="K30" s="110"/>
    </row>
    <row r="31" spans="1:13" s="110" customFormat="1" ht="13.5" customHeight="1">
      <c r="A31" s="645"/>
      <c r="B31" s="646"/>
      <c r="C31" s="646"/>
      <c r="D31" s="646"/>
      <c r="E31" s="646"/>
      <c r="F31" s="646"/>
      <c r="G31" s="647"/>
      <c r="L31" s="111"/>
      <c r="M31" s="111"/>
    </row>
    <row r="32" spans="1:13" s="110" customFormat="1" ht="13.5" customHeight="1">
      <c r="A32" s="645"/>
      <c r="B32" s="646"/>
      <c r="C32" s="646"/>
      <c r="D32" s="646"/>
      <c r="E32" s="646"/>
      <c r="F32" s="646"/>
      <c r="G32" s="647"/>
      <c r="L32" s="111"/>
      <c r="M32" s="111"/>
    </row>
    <row r="33" spans="1:13" s="110" customFormat="1" ht="13.5" customHeight="1">
      <c r="A33" s="645"/>
      <c r="B33" s="646"/>
      <c r="C33" s="646"/>
      <c r="D33" s="646"/>
      <c r="E33" s="646"/>
      <c r="F33" s="646"/>
      <c r="G33" s="647"/>
      <c r="L33" s="111"/>
      <c r="M33" s="111"/>
    </row>
    <row r="34" spans="1:13" s="110" customFormat="1" ht="13.5" customHeight="1">
      <c r="A34" s="645"/>
      <c r="B34" s="646"/>
      <c r="C34" s="646"/>
      <c r="D34" s="646"/>
      <c r="E34" s="646"/>
      <c r="F34" s="646"/>
      <c r="G34" s="647"/>
      <c r="L34" s="111"/>
      <c r="M34" s="111"/>
    </row>
    <row r="35" spans="1:13" s="110" customFormat="1" ht="13.5" customHeight="1">
      <c r="A35" s="645"/>
      <c r="B35" s="646"/>
      <c r="C35" s="646"/>
      <c r="D35" s="646"/>
      <c r="E35" s="646"/>
      <c r="F35" s="646"/>
      <c r="G35" s="647"/>
      <c r="L35" s="111"/>
      <c r="M35" s="111"/>
    </row>
    <row r="36" spans="1:13" s="110" customFormat="1" ht="13.5" customHeight="1">
      <c r="A36" s="645"/>
      <c r="B36" s="646"/>
      <c r="C36" s="646"/>
      <c r="D36" s="646"/>
      <c r="E36" s="646"/>
      <c r="F36" s="646"/>
      <c r="G36" s="647"/>
      <c r="L36" s="111"/>
      <c r="M36" s="111"/>
    </row>
    <row r="37" spans="1:13" s="110" customFormat="1" ht="13.5" customHeight="1">
      <c r="A37" s="645"/>
      <c r="B37" s="646"/>
      <c r="C37" s="646"/>
      <c r="D37" s="646"/>
      <c r="E37" s="646"/>
      <c r="F37" s="646"/>
      <c r="G37" s="647"/>
      <c r="L37" s="111"/>
      <c r="M37" s="111"/>
    </row>
    <row r="38" spans="1:13" s="110" customFormat="1" ht="13.5" customHeight="1">
      <c r="A38" s="645"/>
      <c r="B38" s="646"/>
      <c r="C38" s="646"/>
      <c r="D38" s="646"/>
      <c r="E38" s="646"/>
      <c r="F38" s="646"/>
      <c r="G38" s="647"/>
      <c r="L38" s="111"/>
      <c r="M38" s="111"/>
    </row>
    <row r="39" spans="1:13" s="110" customFormat="1" ht="13.5" customHeight="1">
      <c r="A39" s="645"/>
      <c r="B39" s="646"/>
      <c r="C39" s="646"/>
      <c r="D39" s="646"/>
      <c r="E39" s="646"/>
      <c r="F39" s="646"/>
      <c r="G39" s="647"/>
      <c r="L39" s="111"/>
      <c r="M39" s="111"/>
    </row>
    <row r="40" spans="1:13" s="110" customFormat="1" ht="13.5" customHeight="1">
      <c r="A40" s="645"/>
      <c r="B40" s="646"/>
      <c r="C40" s="646"/>
      <c r="D40" s="646"/>
      <c r="E40" s="646"/>
      <c r="F40" s="646"/>
      <c r="G40" s="647"/>
      <c r="L40" s="111"/>
      <c r="M40" s="111"/>
    </row>
    <row r="41" spans="1:13" s="110" customFormat="1" ht="13.5" customHeight="1">
      <c r="A41" s="645"/>
      <c r="B41" s="646"/>
      <c r="C41" s="646"/>
      <c r="D41" s="646"/>
      <c r="E41" s="646"/>
      <c r="F41" s="646"/>
      <c r="G41" s="647"/>
      <c r="L41" s="111"/>
      <c r="M41" s="111"/>
    </row>
    <row r="42" spans="1:13" s="110" customFormat="1" ht="13.5" customHeight="1">
      <c r="A42" s="645"/>
      <c r="B42" s="646"/>
      <c r="C42" s="646"/>
      <c r="D42" s="646"/>
      <c r="E42" s="646"/>
      <c r="F42" s="646"/>
      <c r="G42" s="647"/>
      <c r="L42" s="111"/>
      <c r="M42" s="111"/>
    </row>
    <row r="43" spans="1:13" s="110" customFormat="1" ht="13.5" customHeight="1">
      <c r="A43" s="645"/>
      <c r="B43" s="646"/>
      <c r="C43" s="646"/>
      <c r="D43" s="646"/>
      <c r="E43" s="646"/>
      <c r="F43" s="646"/>
      <c r="G43" s="647"/>
      <c r="L43" s="111"/>
      <c r="M43" s="111"/>
    </row>
    <row r="44" spans="1:13" s="110" customFormat="1" ht="13.5" customHeight="1">
      <c r="A44" s="645"/>
      <c r="B44" s="646"/>
      <c r="C44" s="646"/>
      <c r="D44" s="646"/>
      <c r="E44" s="646"/>
      <c r="F44" s="646"/>
      <c r="G44" s="647"/>
      <c r="L44" s="111"/>
      <c r="M44" s="111"/>
    </row>
    <row r="45" spans="1:13" s="281" customFormat="1" ht="13.5" customHeight="1">
      <c r="A45" s="645"/>
      <c r="B45" s="646"/>
      <c r="C45" s="646"/>
      <c r="D45" s="646"/>
      <c r="E45" s="646"/>
      <c r="F45" s="646"/>
      <c r="G45" s="647"/>
      <c r="L45" s="282"/>
      <c r="M45" s="282"/>
    </row>
    <row r="46" spans="1:13" s="281" customFormat="1" ht="13.5" customHeight="1">
      <c r="A46" s="645"/>
      <c r="B46" s="646"/>
      <c r="C46" s="646"/>
      <c r="D46" s="646"/>
      <c r="E46" s="646"/>
      <c r="F46" s="646"/>
      <c r="G46" s="647"/>
      <c r="L46" s="282"/>
      <c r="M46" s="282"/>
    </row>
    <row r="47" spans="1:13" s="281" customFormat="1" ht="13.5" customHeight="1">
      <c r="A47" s="645"/>
      <c r="B47" s="646"/>
      <c r="C47" s="646"/>
      <c r="D47" s="646"/>
      <c r="E47" s="646"/>
      <c r="F47" s="646"/>
      <c r="G47" s="647"/>
      <c r="L47" s="282"/>
      <c r="M47" s="282"/>
    </row>
    <row r="48" spans="1:13" s="281" customFormat="1" ht="13.5" customHeight="1">
      <c r="A48" s="645"/>
      <c r="B48" s="646"/>
      <c r="C48" s="646"/>
      <c r="D48" s="646"/>
      <c r="E48" s="646"/>
      <c r="F48" s="646"/>
      <c r="G48" s="647"/>
      <c r="L48" s="282"/>
      <c r="M48" s="282"/>
    </row>
    <row r="49" spans="1:13" s="281" customFormat="1" ht="13.5" customHeight="1">
      <c r="A49" s="645"/>
      <c r="B49" s="646"/>
      <c r="C49" s="646"/>
      <c r="D49" s="646"/>
      <c r="E49" s="646"/>
      <c r="F49" s="646"/>
      <c r="G49" s="647"/>
      <c r="L49" s="282"/>
      <c r="M49" s="282"/>
    </row>
    <row r="50" spans="1:13" s="281" customFormat="1" ht="13.5" customHeight="1">
      <c r="A50" s="645"/>
      <c r="B50" s="646"/>
      <c r="C50" s="646"/>
      <c r="D50" s="646"/>
      <c r="E50" s="646"/>
      <c r="F50" s="646"/>
      <c r="G50" s="647"/>
      <c r="L50" s="282"/>
      <c r="M50" s="282"/>
    </row>
    <row r="51" spans="1:13" s="110" customFormat="1" ht="13.5" customHeight="1">
      <c r="A51" s="645"/>
      <c r="B51" s="646"/>
      <c r="C51" s="646"/>
      <c r="D51" s="646"/>
      <c r="E51" s="646"/>
      <c r="F51" s="646"/>
      <c r="G51" s="647"/>
      <c r="L51" s="111"/>
      <c r="M51" s="111"/>
    </row>
    <row r="52" spans="1:13" s="110" customFormat="1" ht="13.5" customHeight="1">
      <c r="A52" s="645"/>
      <c r="B52" s="646"/>
      <c r="C52" s="646"/>
      <c r="D52" s="646"/>
      <c r="E52" s="646"/>
      <c r="F52" s="646"/>
      <c r="G52" s="647"/>
      <c r="L52" s="111"/>
      <c r="M52" s="111"/>
    </row>
    <row r="53" spans="1:13" s="110" customFormat="1" ht="13.5" customHeight="1">
      <c r="A53" s="645"/>
      <c r="B53" s="646"/>
      <c r="C53" s="646"/>
      <c r="D53" s="646"/>
      <c r="E53" s="646"/>
      <c r="F53" s="646"/>
      <c r="G53" s="647"/>
      <c r="L53" s="111"/>
      <c r="M53" s="111"/>
    </row>
    <row r="54" spans="1:13" s="110" customFormat="1" ht="13.5" customHeight="1">
      <c r="A54" s="645"/>
      <c r="B54" s="646"/>
      <c r="C54" s="646"/>
      <c r="D54" s="646"/>
      <c r="E54" s="646"/>
      <c r="F54" s="646"/>
      <c r="G54" s="647"/>
      <c r="L54" s="111"/>
      <c r="M54" s="111"/>
    </row>
    <row r="55" spans="1:13" s="110" customFormat="1" ht="13.5" customHeight="1">
      <c r="A55" s="645"/>
      <c r="B55" s="646"/>
      <c r="C55" s="646"/>
      <c r="D55" s="646"/>
      <c r="E55" s="646"/>
      <c r="F55" s="646"/>
      <c r="G55" s="647"/>
      <c r="L55" s="111"/>
      <c r="M55" s="111"/>
    </row>
    <row r="56" spans="1:13" s="110" customFormat="1" ht="13.5" customHeight="1">
      <c r="A56" s="645"/>
      <c r="B56" s="646"/>
      <c r="C56" s="646"/>
      <c r="D56" s="646"/>
      <c r="E56" s="646"/>
      <c r="F56" s="646"/>
      <c r="G56" s="647"/>
      <c r="L56" s="111"/>
      <c r="M56" s="111"/>
    </row>
    <row r="57" spans="1:13" s="110" customFormat="1" ht="13.5" customHeight="1">
      <c r="A57" s="645"/>
      <c r="B57" s="646"/>
      <c r="C57" s="646"/>
      <c r="D57" s="646"/>
      <c r="E57" s="646"/>
      <c r="F57" s="646"/>
      <c r="G57" s="647"/>
      <c r="L57" s="111"/>
      <c r="M57" s="111"/>
    </row>
    <row r="58" spans="1:13" s="111" customFormat="1" ht="13.5" customHeight="1">
      <c r="A58" s="645"/>
      <c r="B58" s="646"/>
      <c r="C58" s="646"/>
      <c r="D58" s="646"/>
      <c r="E58" s="646"/>
      <c r="F58" s="646"/>
      <c r="G58" s="647"/>
      <c r="H58" s="110"/>
      <c r="I58" s="110"/>
      <c r="J58" s="110"/>
      <c r="K58" s="110"/>
    </row>
    <row r="59" spans="1:13" s="88" customFormat="1" ht="21">
      <c r="A59" s="689" t="str">
        <f>$B$1</f>
        <v>クラス特徴</v>
      </c>
      <c r="B59" s="690"/>
      <c r="C59" s="37" t="s">
        <v>39</v>
      </c>
      <c r="D59" s="38" t="str">
        <f>$E$1</f>
        <v>遭遇毎</v>
      </c>
      <c r="E59" s="691" t="str">
        <f>$B$2</f>
        <v>CD：ブリザヴァース・リビューク</v>
      </c>
      <c r="F59" s="692"/>
      <c r="G59" s="693"/>
      <c r="L59" s="133"/>
      <c r="M59" s="133"/>
    </row>
  </sheetData>
  <mergeCells count="63">
    <mergeCell ref="A22:G22"/>
    <mergeCell ref="A23:G23"/>
    <mergeCell ref="A24:G24"/>
    <mergeCell ref="A40:G40"/>
    <mergeCell ref="A29:G29"/>
    <mergeCell ref="A30:G30"/>
    <mergeCell ref="A31:G31"/>
    <mergeCell ref="A32:G32"/>
    <mergeCell ref="A33:G33"/>
    <mergeCell ref="A34:G34"/>
    <mergeCell ref="A35:G35"/>
    <mergeCell ref="A36:G36"/>
    <mergeCell ref="A37:G37"/>
    <mergeCell ref="A38:G38"/>
    <mergeCell ref="A55:G55"/>
    <mergeCell ref="A56:G56"/>
    <mergeCell ref="A57:G57"/>
    <mergeCell ref="A58:G58"/>
    <mergeCell ref="E59:G59"/>
    <mergeCell ref="A59:B59"/>
    <mergeCell ref="A54:G54"/>
    <mergeCell ref="A41:G41"/>
    <mergeCell ref="A42:G42"/>
    <mergeCell ref="A43:G43"/>
    <mergeCell ref="A44:G44"/>
    <mergeCell ref="A51:G51"/>
    <mergeCell ref="A52:G52"/>
    <mergeCell ref="A53:G53"/>
    <mergeCell ref="A45:G45"/>
    <mergeCell ref="A46:G46"/>
    <mergeCell ref="A47:G47"/>
    <mergeCell ref="A48:G48"/>
    <mergeCell ref="A49:G49"/>
    <mergeCell ref="A50:G50"/>
    <mergeCell ref="B12:G12"/>
    <mergeCell ref="A39:G39"/>
    <mergeCell ref="J11:K11"/>
    <mergeCell ref="B13:G13"/>
    <mergeCell ref="B14:G14"/>
    <mergeCell ref="B15:G15"/>
    <mergeCell ref="A28:G28"/>
    <mergeCell ref="B17:G17"/>
    <mergeCell ref="B18:G18"/>
    <mergeCell ref="A19:G19"/>
    <mergeCell ref="A20:G20"/>
    <mergeCell ref="A21:G21"/>
    <mergeCell ref="A25:G25"/>
    <mergeCell ref="A26:G26"/>
    <mergeCell ref="A27:G27"/>
    <mergeCell ref="B16:G16"/>
    <mergeCell ref="J9:K9"/>
    <mergeCell ref="B11:G11"/>
    <mergeCell ref="B1:C1"/>
    <mergeCell ref="F1:G1"/>
    <mergeCell ref="B2:G2"/>
    <mergeCell ref="B4:G4"/>
    <mergeCell ref="B5:G5"/>
    <mergeCell ref="B6:D6"/>
    <mergeCell ref="H4:L4"/>
    <mergeCell ref="B7:D7"/>
    <mergeCell ref="B8:G8"/>
    <mergeCell ref="B9:G9"/>
    <mergeCell ref="B10:G1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基本!$A$16:$A$19</xm:f>
          </x14:formula1>
          <xm:sqref>K8</xm:sqref>
        </x14:dataValidation>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 type="list" allowBlank="1" showInputMessage="1" showErrorMessage="1">
          <x14:formula1>
            <xm:f>基本!$D$27:$D$31</xm:f>
          </x14:formula1>
          <xm:sqref>I7</xm:sqref>
        </x14:dataValidation>
        <x14:dataValidation type="list" allowBlank="1" showInputMessage="1" showErrorMessage="1">
          <x14:formula1>
            <xm:f>基本!$C$27:$C$37</xm:f>
          </x14:formula1>
          <xm:sqref>I15</xm:sqref>
        </x14:dataValidation>
        <x14:dataValidation type="list" allowBlank="1" showInputMessage="1" showErrorMessage="1">
          <x14:formula1>
            <xm:f>基本!$A$5:$A$10</xm:f>
          </x14:formula1>
          <xm:sqref>I10 I8 K15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N58"/>
  <sheetViews>
    <sheetView zoomScaleNormal="100" workbookViewId="0">
      <selection activeCell="B2" sqref="B2:G2"/>
    </sheetView>
  </sheetViews>
  <sheetFormatPr defaultRowHeight="13.5"/>
  <cols>
    <col min="1" max="1" width="7.875" style="238" customWidth="1"/>
    <col min="2" max="2" width="8.5" style="238" customWidth="1"/>
    <col min="3" max="3" width="6.625" style="238" customWidth="1"/>
    <col min="4" max="4" width="15.75" style="238" customWidth="1"/>
    <col min="5" max="6" width="15.75" style="239" customWidth="1"/>
    <col min="7" max="7" width="18.25" style="239" customWidth="1"/>
    <col min="8" max="8" width="17.375" style="239" customWidth="1"/>
    <col min="9" max="9" width="14.625" style="239" customWidth="1"/>
    <col min="10" max="10" width="8.375" style="239" customWidth="1"/>
    <col min="11" max="11" width="7.5" style="239" customWidth="1"/>
    <col min="12" max="13" width="7.875" style="238" customWidth="1"/>
    <col min="14" max="14" width="9.25" style="238" customWidth="1"/>
    <col min="15" max="15" width="12.375" style="238" customWidth="1"/>
    <col min="16" max="16384" width="9" style="238"/>
  </cols>
  <sheetData>
    <row r="1" spans="1:14" ht="21">
      <c r="A1" s="253" t="s">
        <v>413</v>
      </c>
      <c r="B1" s="676">
        <v>7</v>
      </c>
      <c r="C1" s="677"/>
      <c r="D1" s="254" t="s">
        <v>39</v>
      </c>
      <c r="E1" s="255" t="s">
        <v>111</v>
      </c>
      <c r="F1" s="678"/>
      <c r="G1" s="679"/>
      <c r="H1" s="244" t="s">
        <v>54</v>
      </c>
    </row>
    <row r="2" spans="1:14" ht="24.75" customHeight="1">
      <c r="A2" s="254" t="s">
        <v>0</v>
      </c>
      <c r="B2" s="680" t="s">
        <v>416</v>
      </c>
      <c r="C2" s="680"/>
      <c r="D2" s="680"/>
      <c r="E2" s="680"/>
      <c r="F2" s="680"/>
      <c r="G2" s="680"/>
      <c r="H2" s="244" t="s">
        <v>55</v>
      </c>
    </row>
    <row r="3" spans="1:14" ht="19.5" customHeight="1">
      <c r="A3" s="246" t="s">
        <v>47</v>
      </c>
      <c r="B3" s="239"/>
      <c r="C3" s="239"/>
      <c r="D3" s="239"/>
      <c r="I3" s="244"/>
    </row>
    <row r="4" spans="1:14">
      <c r="A4" s="260" t="s">
        <v>45</v>
      </c>
      <c r="B4" s="628" t="s">
        <v>414</v>
      </c>
      <c r="C4" s="629"/>
      <c r="D4" s="629"/>
      <c r="E4" s="629"/>
      <c r="F4" s="629"/>
      <c r="G4" s="630"/>
      <c r="H4" s="539" t="s">
        <v>980</v>
      </c>
      <c r="I4" s="540"/>
      <c r="J4" s="540"/>
      <c r="K4" s="540"/>
      <c r="L4" s="540"/>
      <c r="M4" s="541"/>
    </row>
    <row r="5" spans="1:14">
      <c r="A5" s="261" t="s">
        <v>38</v>
      </c>
      <c r="B5" s="628" t="s">
        <v>415</v>
      </c>
      <c r="C5" s="629"/>
      <c r="D5" s="629"/>
      <c r="E5" s="629"/>
      <c r="F5" s="629"/>
      <c r="G5" s="630"/>
      <c r="H5" s="243" t="s">
        <v>42</v>
      </c>
      <c r="I5" s="242" t="s">
        <v>82</v>
      </c>
      <c r="J5" s="242">
        <v>10</v>
      </c>
    </row>
    <row r="6" spans="1:14">
      <c r="A6" s="261" t="s">
        <v>7</v>
      </c>
      <c r="B6" s="628" t="s">
        <v>5</v>
      </c>
      <c r="C6" s="629"/>
      <c r="D6" s="630"/>
      <c r="E6" s="243" t="s">
        <v>42</v>
      </c>
      <c r="F6" s="240" t="str">
        <f>$I$5</f>
        <v>遠隔範囲</v>
      </c>
      <c r="G6" s="240">
        <f>IF($J$5 = 0,"", $J$5)</f>
        <v>10</v>
      </c>
      <c r="H6" s="243" t="s">
        <v>65</v>
      </c>
      <c r="I6" s="242" t="s">
        <v>66</v>
      </c>
      <c r="J6" s="295" t="s">
        <v>486</v>
      </c>
    </row>
    <row r="7" spans="1:14">
      <c r="A7" s="262" t="s">
        <v>6</v>
      </c>
      <c r="B7" s="628" t="s">
        <v>287</v>
      </c>
      <c r="C7" s="629"/>
      <c r="D7" s="630"/>
      <c r="E7" s="243" t="s">
        <v>65</v>
      </c>
      <c r="F7" s="272" t="str">
        <f>IF($I$6 = 0,"", $I$6)</f>
        <v>爆発</v>
      </c>
      <c r="G7" s="272" t="str">
        <f>IF($J$6 = 0,"", $J$6)</f>
        <v>2 ( or 3 )</v>
      </c>
      <c r="H7" s="243" t="s">
        <v>84</v>
      </c>
      <c r="I7" s="242" t="s">
        <v>112</v>
      </c>
      <c r="J7" s="244" t="s">
        <v>61</v>
      </c>
      <c r="L7" s="230" t="s">
        <v>343</v>
      </c>
    </row>
    <row r="8" spans="1:14">
      <c r="A8" s="262" t="s">
        <v>8</v>
      </c>
      <c r="B8" s="628" t="s">
        <v>355</v>
      </c>
      <c r="C8" s="629"/>
      <c r="D8" s="629"/>
      <c r="E8" s="629"/>
      <c r="F8" s="629"/>
      <c r="G8" s="630"/>
      <c r="H8" s="243" t="s">
        <v>50</v>
      </c>
      <c r="I8" s="242" t="s">
        <v>139</v>
      </c>
      <c r="J8" s="240">
        <f>IF($I$8 = "筋力",基本!$C$5,IF($I$8 = "耐久力",基本!$C$6,IF($I$8 = "敏捷力",基本!$C$7,IF($I$8 = "知力",基本!$C$8,IF($I$8 = "判断力",基本!$C$9,IF($I$8 = "判断力",基本!$C$10,""))))))</f>
        <v>7</v>
      </c>
      <c r="K8" s="242" t="s">
        <v>20</v>
      </c>
      <c r="L8" s="229">
        <f>$J$8+$L$9+$I$9</f>
        <v>22</v>
      </c>
    </row>
    <row r="9" spans="1:14" ht="14.25" customHeight="1">
      <c r="A9" s="274" t="s">
        <v>371</v>
      </c>
      <c r="B9" s="642" t="s">
        <v>372</v>
      </c>
      <c r="C9" s="643"/>
      <c r="D9" s="643"/>
      <c r="E9" s="643"/>
      <c r="F9" s="643"/>
      <c r="G9" s="644"/>
      <c r="H9" s="243" t="s">
        <v>57</v>
      </c>
      <c r="I9" s="242">
        <v>0</v>
      </c>
      <c r="J9" s="539" t="s">
        <v>52</v>
      </c>
      <c r="K9" s="541"/>
      <c r="L9" s="240">
        <f>IF($I$7=基本!$F$4,基本!$O$7,IF($I$7=基本!$F$13,基本!$O$16,IF($I$7=基本!$F$22,基本!$O$25,IF($I$7=基本!$F$31,基本!$O$34,IF($I$7=基本!$F$40,基本!$O$43,0)))))</f>
        <v>15</v>
      </c>
    </row>
    <row r="10" spans="1:14" ht="7.5" customHeight="1">
      <c r="A10" s="274"/>
      <c r="B10" s="645"/>
      <c r="C10" s="646"/>
      <c r="D10" s="646"/>
      <c r="E10" s="646"/>
      <c r="F10" s="646"/>
      <c r="G10" s="647"/>
      <c r="H10" s="248" t="s">
        <v>51</v>
      </c>
      <c r="I10" s="242" t="s">
        <v>139</v>
      </c>
      <c r="J10" s="249">
        <f>IF($I$10 = "筋力",基本!$C$5,IF($I$10 = "耐久力",基本!$C$6,IF($I$10 = "敏捷力",基本!$C$7,IF($I$10 = "知力",基本!$C$8,IF($I$10 = "判断力",基本!$C$9,IF($I$10 = "判断力",基本!$C$10,""))))))</f>
        <v>7</v>
      </c>
      <c r="K10" s="513" t="s">
        <v>15</v>
      </c>
      <c r="L10" s="512">
        <f>IF(K10="",0,VLOOKUP(K10,基本!$A$5:'基本'!$C$10,3,FALSE))</f>
        <v>3</v>
      </c>
    </row>
    <row r="11" spans="1:14" ht="14.25" customHeight="1">
      <c r="A11" s="273" t="s">
        <v>60</v>
      </c>
      <c r="B11" s="642" t="s">
        <v>373</v>
      </c>
      <c r="C11" s="643"/>
      <c r="D11" s="643"/>
      <c r="E11" s="643"/>
      <c r="F11" s="643"/>
      <c r="G11" s="644"/>
      <c r="H11" s="243" t="s">
        <v>58</v>
      </c>
      <c r="I11" s="242">
        <v>0</v>
      </c>
      <c r="J11" s="539" t="s">
        <v>53</v>
      </c>
      <c r="K11" s="541"/>
      <c r="L11" s="240">
        <f>IF($I$7=基本!$F$4,基本!$O$9,IF($I$7=基本!$F$13,基本!$O$18,IF($I$7=基本!$F$22,基本!$O$27,IF($I$7=基本!$F$31,基本!$O$36,IF($I$7=基本!$F$40,基本!$O$45,0)))))</f>
        <v>4</v>
      </c>
    </row>
    <row r="12" spans="1:14" ht="3" customHeight="1">
      <c r="A12" s="263"/>
      <c r="B12" s="645"/>
      <c r="C12" s="646"/>
      <c r="D12" s="646"/>
      <c r="E12" s="646"/>
      <c r="F12" s="646"/>
      <c r="G12" s="647"/>
      <c r="H12" s="288"/>
      <c r="I12" s="288"/>
      <c r="J12" s="287"/>
      <c r="K12" s="287"/>
      <c r="L12" s="230" t="s">
        <v>343</v>
      </c>
      <c r="M12" s="506" t="s">
        <v>59</v>
      </c>
    </row>
    <row r="13" spans="1:14" ht="3" customHeight="1">
      <c r="A13" s="263"/>
      <c r="B13" s="645"/>
      <c r="C13" s="646"/>
      <c r="D13" s="646"/>
      <c r="E13" s="646"/>
      <c r="F13" s="646"/>
      <c r="G13" s="647"/>
      <c r="H13" s="505" t="s">
        <v>85</v>
      </c>
      <c r="I13" s="503">
        <v>1</v>
      </c>
      <c r="J13" s="505" t="s">
        <v>43</v>
      </c>
      <c r="K13" s="503">
        <v>6</v>
      </c>
      <c r="L13" s="229">
        <f>J10+IF(I13=0,0,L11)+I11</f>
        <v>11</v>
      </c>
      <c r="M13" s="513"/>
      <c r="N13" s="256"/>
    </row>
    <row r="14" spans="1:14" ht="3" customHeight="1">
      <c r="A14" s="266"/>
      <c r="B14" s="698"/>
      <c r="C14" s="699"/>
      <c r="D14" s="699"/>
      <c r="E14" s="699"/>
      <c r="F14" s="699"/>
      <c r="G14" s="700"/>
      <c r="H14" s="505" t="s">
        <v>49</v>
      </c>
      <c r="I14" s="245">
        <f>IF($I$7=基本!$F$4,基本!$L$11,IF($I$7=基本!$F$13,基本!$L$20,IF($I$7=基本!$F$22,基本!$L$29,IF($I$7=基本!$F$31,基本!$L$38,IF($I$7=基本!$F$40,基本!$L$47,0)))))</f>
        <v>5</v>
      </c>
      <c r="J14" s="505" t="s">
        <v>43</v>
      </c>
      <c r="K14" s="245">
        <f>IF($I$7=基本!$F$4,基本!$N$11,IF($I$7=基本!$F$13,基本!$N$20,IF($I$7=基本!$F$22,基本!$N$29,IF($I$7=基本!$F$31,基本!$N$38,IF($I$7=基本!$F$40,基本!$N$47,0)))))</f>
        <v>12</v>
      </c>
      <c r="L14" s="229">
        <f>L13+(I13*K13)</f>
        <v>17</v>
      </c>
      <c r="M14" s="503"/>
      <c r="N14" s="256"/>
    </row>
    <row r="15" spans="1:14" ht="14.25" customHeight="1">
      <c r="A15" s="263"/>
      <c r="B15" s="672" t="str">
        <f>"範囲内の味方全て、" &amp; $L$10+1 &amp; " マス横滑り"</f>
        <v>範囲内の味方全て、4 マス横滑り</v>
      </c>
      <c r="C15" s="673"/>
      <c r="D15" s="673"/>
      <c r="E15" s="673"/>
      <c r="F15" s="673"/>
      <c r="G15" s="674"/>
      <c r="H15" s="505" t="s">
        <v>982</v>
      </c>
      <c r="I15" s="245">
        <f>I14+2</f>
        <v>7</v>
      </c>
      <c r="J15" s="505" t="s">
        <v>43</v>
      </c>
      <c r="K15" s="245">
        <f>IF($I$7=基本!$F$4,基本!$N$11,IF($I$7=基本!$F$13,基本!$N$20,IF($I$7=基本!$F$22,基本!$N$29,IF($I$7=基本!$F$31,基本!$N$38,IF($I$7=基本!$F$40,基本!$N$47,0)))))</f>
        <v>12</v>
      </c>
      <c r="L15" s="229">
        <f>L14</f>
        <v>17</v>
      </c>
      <c r="M15" s="515">
        <f>L15+(I15*K15)</f>
        <v>101</v>
      </c>
    </row>
    <row r="16" spans="1:14" ht="8.25" customHeight="1">
      <c r="A16" s="264"/>
      <c r="B16" s="603"/>
      <c r="C16" s="604"/>
      <c r="D16" s="604"/>
      <c r="E16" s="604"/>
      <c r="F16" s="604"/>
      <c r="G16" s="605"/>
      <c r="H16" s="238"/>
      <c r="I16" s="238"/>
      <c r="J16" s="238"/>
      <c r="K16" s="238"/>
    </row>
    <row r="17" spans="1:11" ht="14.25" thickBot="1">
      <c r="A17" s="265" t="s">
        <v>46</v>
      </c>
      <c r="E17" s="241"/>
      <c r="H17" s="238"/>
      <c r="I17" s="238"/>
      <c r="J17" s="238"/>
      <c r="K17" s="238"/>
    </row>
    <row r="18" spans="1:11" s="287" customFormat="1" ht="15" customHeight="1">
      <c r="A18" s="701" t="str">
        <f>$B$2</f>
        <v>タイド・オヴ・ザ・ファースト・ストーム</v>
      </c>
      <c r="B18" s="702"/>
      <c r="C18" s="703"/>
      <c r="D18" s="662" t="s">
        <v>2</v>
      </c>
      <c r="E18" s="663"/>
      <c r="F18" s="664" t="s">
        <v>479</v>
      </c>
      <c r="G18" s="665"/>
    </row>
    <row r="19" spans="1:11" s="287" customFormat="1" ht="18.75" customHeight="1" thickBot="1">
      <c r="A19" s="704"/>
      <c r="B19" s="705"/>
      <c r="C19" s="706"/>
      <c r="D19" s="312" t="s">
        <v>2</v>
      </c>
      <c r="E19" s="313" t="s">
        <v>1</v>
      </c>
      <c r="F19" s="312" t="s">
        <v>2</v>
      </c>
      <c r="G19" s="314" t="s">
        <v>1</v>
      </c>
    </row>
    <row r="20" spans="1:11" s="287" customFormat="1" ht="24" customHeight="1">
      <c r="A20" s="611" t="s">
        <v>41</v>
      </c>
      <c r="B20" s="315" t="s">
        <v>113</v>
      </c>
      <c r="C20" s="666" t="str">
        <f>$K$8</f>
        <v>反応</v>
      </c>
      <c r="D20" s="316" t="str">
        <f>$L$8 &amp; "+1d20"</f>
        <v>22+1d20</v>
      </c>
      <c r="E20" s="317" t="str">
        <f>$L$8+2 &amp; "+1d20"</f>
        <v>24+1d20</v>
      </c>
      <c r="F20" s="316" t="str">
        <f>$L$8 &amp; "+1d20"</f>
        <v>22+1d20</v>
      </c>
      <c r="G20" s="318" t="str">
        <f>$L$8+2 &amp; "+1d20"</f>
        <v>24+1d20</v>
      </c>
    </row>
    <row r="21" spans="1:11" s="287" customFormat="1" ht="24" customHeight="1">
      <c r="A21" s="612"/>
      <c r="B21" s="332" t="s">
        <v>483</v>
      </c>
      <c r="C21" s="667"/>
      <c r="D21" s="325" t="str">
        <f>2+$L$8 &amp; "+1d20"</f>
        <v>24+1d20</v>
      </c>
      <c r="E21" s="326" t="str">
        <f>2+$L$8+2 &amp; "+1d20"</f>
        <v>26+1d20</v>
      </c>
      <c r="F21" s="325" t="str">
        <f>2+$L$8 &amp; "+1d20"</f>
        <v>24+1d20</v>
      </c>
      <c r="G21" s="327" t="str">
        <f>2+$L$8+2 &amp; "+1d20"</f>
        <v>26+1d20</v>
      </c>
    </row>
    <row r="22" spans="1:11" s="287" customFormat="1" ht="24" customHeight="1">
      <c r="A22" s="612"/>
      <c r="B22" s="328" t="s">
        <v>476</v>
      </c>
      <c r="C22" s="667"/>
      <c r="D22" s="329" t="str">
        <f>3+$L$8 &amp; "+1d20"</f>
        <v>25+1d20</v>
      </c>
      <c r="E22" s="330" t="str">
        <f>3+$L$8+2 &amp; "+1d20"</f>
        <v>27+1d20</v>
      </c>
      <c r="F22" s="329" t="str">
        <f>3+$L$8 &amp; "+1d20"</f>
        <v>25+1d20</v>
      </c>
      <c r="G22" s="331" t="str">
        <f>3+$L$8+2 &amp; "+1d20"</f>
        <v>27+1d20</v>
      </c>
    </row>
    <row r="23" spans="1:11" s="287" customFormat="1" ht="24" customHeight="1" thickBot="1">
      <c r="A23" s="613"/>
      <c r="B23" s="324" t="s">
        <v>482</v>
      </c>
      <c r="C23" s="668"/>
      <c r="D23" s="319" t="str">
        <f>2+3+$L$8 &amp; "+1d20"</f>
        <v>27+1d20</v>
      </c>
      <c r="E23" s="320" t="str">
        <f>2+3+$L$8+2 &amp; "+1d20"</f>
        <v>29+1d20</v>
      </c>
      <c r="F23" s="319" t="str">
        <f>2+3+$L$8 &amp; "+1d20"</f>
        <v>27+1d20</v>
      </c>
      <c r="G23" s="321" t="str">
        <f>2+3+$L$8+2 &amp; "+1d20"</f>
        <v>29+1d20</v>
      </c>
    </row>
    <row r="24" spans="1:11" s="287" customFormat="1" ht="18" customHeight="1">
      <c r="A24" s="631" t="s">
        <v>113</v>
      </c>
      <c r="B24" s="257" t="s">
        <v>4</v>
      </c>
      <c r="C24" s="233" t="str">
        <f>IF($M$13 = 0,"", $M$13)</f>
        <v/>
      </c>
      <c r="D24" s="234" t="str">
        <f>$L$13 &amp; "+" &amp; $I$13 &amp; "d" &amp; $K$13</f>
        <v>11+1d6</v>
      </c>
      <c r="E24" s="234" t="str">
        <f>$L$13 &amp; "+" &amp; $I$13 &amp; "d" &amp; $K$13</f>
        <v>11+1d6</v>
      </c>
      <c r="F24" s="234" t="str">
        <f>$L$13+3 &amp; "+" &amp; $I$13 &amp; "d" &amp; $K$13</f>
        <v>14+1d6</v>
      </c>
      <c r="G24" s="235" t="str">
        <f>$L$13+3 &amp; "+" &amp; $I$13 &amp; "d" &amp; $K$13</f>
        <v>14+1d6</v>
      </c>
    </row>
    <row r="25" spans="1:11" s="287" customFormat="1" ht="18" customHeight="1">
      <c r="A25" s="632"/>
      <c r="B25" s="359" t="s">
        <v>3</v>
      </c>
      <c r="C25" s="360" t="str">
        <f>IF($M$14 = 0,"", $M$14)</f>
        <v/>
      </c>
      <c r="D25" s="361" t="str">
        <f>$L$14 &amp; "+2d6" &amp; IF($I$14 = 0,"","+" &amp; $I$14 &amp; "d" &amp; $K$14)</f>
        <v>17+2d6+5d12</v>
      </c>
      <c r="E25" s="361" t="str">
        <f>$L$14 &amp; "+2d6" &amp; IF($I$14 = 0,"","+" &amp; $I$14 &amp; "d" &amp; $K$14)</f>
        <v>17+2d6+5d12</v>
      </c>
      <c r="F25" s="361" t="str">
        <f>$L$14+3 &amp; "+2d6" &amp; IF($I$14 = 0,"","+" &amp; $I$14 &amp; "d" &amp; $K$14)</f>
        <v>20+2d6+5d12</v>
      </c>
      <c r="G25" s="363" t="str">
        <f>$L$14+3 &amp; "+2d6" &amp; IF($I$14 = 0,"","+" &amp; $I$14 &amp; "d" &amp; $K$14)</f>
        <v>20+2d6+5d12</v>
      </c>
    </row>
    <row r="26" spans="1:11" s="287" customFormat="1" ht="18" customHeight="1">
      <c r="A26" s="632"/>
      <c r="B26" s="359" t="s">
        <v>982</v>
      </c>
      <c r="C26" s="360" t="str">
        <f>IF($M$14 = 0,"", $M$14)</f>
        <v/>
      </c>
      <c r="D26" s="361" t="str">
        <f>$L$15 &amp; "+2d6" &amp; IF($I$15 = 0,"","+" &amp; $I$15 &amp; "d" &amp; $K$15)</f>
        <v>17+2d6+7d12</v>
      </c>
      <c r="E26" s="361" t="str">
        <f>$L$15 &amp; "+2d6" &amp; IF($I$15 = 0,"","+" &amp; $I$15 &amp; "d" &amp; $K$15)</f>
        <v>17+2d6+7d12</v>
      </c>
      <c r="F26" s="361" t="str">
        <f>$L$15+3 &amp; "+2d6" &amp; IF($I$15 = 0,"","+" &amp; $I$15 &amp; "d" &amp; $K$15)</f>
        <v>20+2d6+7d12</v>
      </c>
      <c r="G26" s="363" t="str">
        <f>$L$15+3 &amp; "+2d6" &amp; IF($I$15 = 0,"","+" &amp; $I$15 &amp; "d" &amp; $K$15)</f>
        <v>20+2d6+7d12</v>
      </c>
    </row>
    <row r="27" spans="1:11" s="287" customFormat="1" ht="18" customHeight="1" thickBot="1">
      <c r="A27" s="633"/>
      <c r="B27" s="514" t="s">
        <v>981</v>
      </c>
      <c r="C27" s="507" t="str">
        <f>IF($M$14 = 0,"", $M$14)</f>
        <v/>
      </c>
      <c r="D27" s="508">
        <f>$M$15+12</f>
        <v>113</v>
      </c>
      <c r="E27" s="508">
        <f>$M$15+12</f>
        <v>113</v>
      </c>
      <c r="F27" s="508">
        <f>$M$15+3+12</f>
        <v>116</v>
      </c>
      <c r="G27" s="509">
        <f>$M$15+3+12</f>
        <v>116</v>
      </c>
    </row>
    <row r="28" spans="1:11" s="287" customFormat="1" ht="8.25" customHeight="1">
      <c r="A28" s="529"/>
      <c r="B28" s="529"/>
      <c r="C28" s="529"/>
      <c r="D28" s="529"/>
      <c r="E28" s="529"/>
      <c r="F28" s="529"/>
      <c r="G28" s="529"/>
      <c r="H28" s="288"/>
      <c r="I28" s="288"/>
      <c r="J28" s="288"/>
      <c r="K28" s="288"/>
    </row>
    <row r="29" spans="1:11" s="287" customFormat="1" ht="14.25">
      <c r="A29" s="517" t="s">
        <v>493</v>
      </c>
      <c r="B29" s="517"/>
      <c r="C29" s="517"/>
      <c r="D29" s="517"/>
      <c r="E29" s="517"/>
      <c r="F29" s="517"/>
      <c r="G29" s="517"/>
      <c r="H29" s="288"/>
      <c r="I29" s="288"/>
      <c r="J29" s="288"/>
      <c r="K29" s="288"/>
    </row>
    <row r="30" spans="1:11" s="287" customFormat="1" ht="14.25">
      <c r="A30" s="517" t="s">
        <v>815</v>
      </c>
      <c r="B30" s="517"/>
      <c r="C30" s="517"/>
      <c r="D30" s="517"/>
      <c r="E30" s="517"/>
      <c r="F30" s="517"/>
      <c r="G30" s="517"/>
      <c r="H30" s="288"/>
    </row>
    <row r="31" spans="1:11" s="287" customFormat="1" ht="14.25">
      <c r="A31" s="517" t="s">
        <v>809</v>
      </c>
      <c r="B31" s="517"/>
      <c r="C31" s="517"/>
      <c r="D31" s="517"/>
      <c r="E31" s="517"/>
      <c r="F31" s="517"/>
      <c r="G31" s="517"/>
      <c r="H31" s="288"/>
    </row>
    <row r="32" spans="1:11" s="287" customFormat="1" ht="14.25">
      <c r="A32" s="517" t="s">
        <v>149</v>
      </c>
      <c r="B32" s="517"/>
      <c r="C32" s="517"/>
      <c r="D32" s="517"/>
      <c r="E32" s="517"/>
      <c r="F32" s="517"/>
      <c r="G32" s="517"/>
      <c r="H32" s="288"/>
    </row>
    <row r="33" spans="1:13" s="287" customFormat="1" ht="14.25">
      <c r="A33" s="517" t="s">
        <v>147</v>
      </c>
      <c r="B33" s="517"/>
      <c r="C33" s="517"/>
      <c r="D33" s="517"/>
      <c r="E33" s="517"/>
      <c r="F33" s="517"/>
      <c r="G33" s="517"/>
      <c r="H33" s="288"/>
    </row>
    <row r="34" spans="1:13" s="287" customFormat="1" ht="14.25">
      <c r="A34" s="517" t="s">
        <v>437</v>
      </c>
      <c r="B34" s="517"/>
      <c r="C34" s="517"/>
      <c r="D34" s="517"/>
      <c r="E34" s="517"/>
      <c r="F34" s="517"/>
      <c r="G34" s="517"/>
      <c r="H34" s="288"/>
    </row>
    <row r="35" spans="1:13" s="287" customFormat="1" ht="13.5" customHeight="1">
      <c r="A35" s="529" t="s">
        <v>506</v>
      </c>
      <c r="B35" s="529"/>
      <c r="C35" s="529"/>
      <c r="D35" s="529"/>
      <c r="E35" s="529"/>
      <c r="F35" s="529"/>
      <c r="G35" s="529"/>
      <c r="H35" s="288"/>
      <c r="I35" s="288"/>
      <c r="J35" s="288"/>
      <c r="K35" s="288"/>
    </row>
    <row r="36" spans="1:13" s="287" customFormat="1" ht="13.5" customHeight="1">
      <c r="A36" s="525" t="s">
        <v>507</v>
      </c>
      <c r="B36" s="525"/>
      <c r="C36" s="525"/>
      <c r="D36" s="525"/>
      <c r="E36" s="525"/>
      <c r="F36" s="525"/>
      <c r="G36" s="525"/>
      <c r="H36" s="288"/>
      <c r="I36" s="288"/>
      <c r="J36" s="288"/>
      <c r="K36" s="288"/>
    </row>
    <row r="37" spans="1:13" s="287" customFormat="1" ht="14.25">
      <c r="A37" s="517" t="s">
        <v>973</v>
      </c>
      <c r="B37" s="517"/>
      <c r="C37" s="517"/>
      <c r="D37" s="517"/>
      <c r="E37" s="517"/>
      <c r="F37" s="517"/>
      <c r="G37" s="517"/>
      <c r="H37" s="288"/>
    </row>
    <row r="38" spans="1:13" s="287" customFormat="1" ht="13.5" customHeight="1">
      <c r="A38" s="529" t="s">
        <v>440</v>
      </c>
      <c r="B38" s="529"/>
      <c r="C38" s="529"/>
      <c r="D38" s="529"/>
      <c r="E38" s="529"/>
      <c r="F38" s="529"/>
      <c r="G38" s="529"/>
      <c r="H38" s="288"/>
      <c r="I38" s="288"/>
      <c r="J38" s="288"/>
      <c r="K38" s="288"/>
    </row>
    <row r="39" spans="1:13" s="287" customFormat="1" ht="13.5" customHeight="1">
      <c r="A39" s="525" t="s">
        <v>441</v>
      </c>
      <c r="B39" s="525"/>
      <c r="C39" s="525"/>
      <c r="D39" s="525"/>
      <c r="E39" s="525"/>
      <c r="F39" s="525"/>
      <c r="G39" s="525"/>
      <c r="H39" s="288"/>
      <c r="I39" s="288"/>
      <c r="J39" s="288"/>
      <c r="K39" s="288"/>
    </row>
    <row r="40" spans="1:13" s="287" customFormat="1" ht="13.5" customHeight="1">
      <c r="A40" s="525" t="s">
        <v>442</v>
      </c>
      <c r="B40" s="525"/>
      <c r="C40" s="525"/>
      <c r="D40" s="525"/>
      <c r="E40" s="525"/>
      <c r="F40" s="525"/>
      <c r="G40" s="525"/>
      <c r="H40" s="288"/>
      <c r="I40" s="288"/>
      <c r="J40" s="288"/>
      <c r="K40" s="288"/>
    </row>
    <row r="41" spans="1:13" s="287" customFormat="1" ht="8.25" customHeight="1">
      <c r="A41" s="604"/>
      <c r="B41" s="604"/>
      <c r="C41" s="604"/>
      <c r="D41" s="604"/>
      <c r="E41" s="604"/>
      <c r="F41" s="604"/>
      <c r="G41" s="604"/>
      <c r="H41" s="288"/>
      <c r="I41" s="288"/>
      <c r="J41" s="288"/>
      <c r="K41" s="288"/>
    </row>
    <row r="42" spans="1:13" s="287" customFormat="1">
      <c r="A42" s="619" t="s">
        <v>48</v>
      </c>
      <c r="B42" s="620"/>
      <c r="C42" s="620"/>
      <c r="D42" s="620"/>
      <c r="E42" s="620"/>
      <c r="F42" s="620"/>
      <c r="G42" s="621"/>
      <c r="H42" s="288"/>
      <c r="I42" s="288"/>
      <c r="J42" s="288"/>
      <c r="K42" s="288"/>
    </row>
    <row r="43" spans="1:13" s="288" customFormat="1" ht="7.5" customHeight="1">
      <c r="A43" s="707"/>
      <c r="B43" s="517"/>
      <c r="C43" s="517"/>
      <c r="D43" s="517"/>
      <c r="E43" s="517"/>
      <c r="F43" s="517"/>
      <c r="G43" s="708"/>
      <c r="L43" s="287"/>
      <c r="M43" s="287"/>
    </row>
    <row r="44" spans="1:13" s="288" customFormat="1" ht="13.5" customHeight="1">
      <c r="A44" s="669" t="s">
        <v>528</v>
      </c>
      <c r="B44" s="670"/>
      <c r="C44" s="670"/>
      <c r="D44" s="670"/>
      <c r="E44" s="670"/>
      <c r="F44" s="670"/>
      <c r="G44" s="671"/>
      <c r="L44" s="287"/>
    </row>
    <row r="45" spans="1:13" s="288" customFormat="1" ht="13.5" customHeight="1">
      <c r="A45" s="614" t="s">
        <v>529</v>
      </c>
      <c r="B45" s="520"/>
      <c r="C45" s="520"/>
      <c r="D45" s="520"/>
      <c r="E45" s="520"/>
      <c r="F45" s="520"/>
      <c r="G45" s="615"/>
      <c r="L45" s="287"/>
    </row>
    <row r="46" spans="1:13" s="288" customFormat="1" ht="13.5" customHeight="1">
      <c r="A46" s="614" t="s">
        <v>530</v>
      </c>
      <c r="B46" s="520"/>
      <c r="C46" s="520"/>
      <c r="D46" s="520"/>
      <c r="E46" s="520"/>
      <c r="F46" s="520"/>
      <c r="G46" s="615"/>
      <c r="L46" s="287"/>
    </row>
    <row r="47" spans="1:13" s="288" customFormat="1" ht="13.5" customHeight="1">
      <c r="A47" s="614" t="s">
        <v>531</v>
      </c>
      <c r="B47" s="520"/>
      <c r="C47" s="520"/>
      <c r="D47" s="520"/>
      <c r="E47" s="520"/>
      <c r="F47" s="520"/>
      <c r="G47" s="615"/>
      <c r="L47" s="287"/>
    </row>
    <row r="48" spans="1:13" s="288" customFormat="1" ht="7.5" customHeight="1">
      <c r="A48" s="614"/>
      <c r="B48" s="520"/>
      <c r="C48" s="520"/>
      <c r="D48" s="520"/>
      <c r="E48" s="520"/>
      <c r="F48" s="520"/>
      <c r="G48" s="615"/>
      <c r="L48" s="287"/>
      <c r="M48" s="287"/>
    </row>
    <row r="49" spans="1:13" s="288" customFormat="1" ht="13.5" customHeight="1">
      <c r="A49" s="614" t="s">
        <v>985</v>
      </c>
      <c r="B49" s="520"/>
      <c r="C49" s="520"/>
      <c r="D49" s="520"/>
      <c r="E49" s="520"/>
      <c r="F49" s="520"/>
      <c r="G49" s="615"/>
      <c r="L49" s="287"/>
      <c r="M49" s="287"/>
    </row>
    <row r="50" spans="1:13" s="288" customFormat="1" ht="13.5" customHeight="1">
      <c r="A50" s="614" t="s">
        <v>525</v>
      </c>
      <c r="B50" s="520"/>
      <c r="C50" s="520"/>
      <c r="D50" s="520"/>
      <c r="E50" s="520"/>
      <c r="F50" s="520"/>
      <c r="G50" s="615"/>
      <c r="L50" s="287"/>
      <c r="M50" s="287"/>
    </row>
    <row r="51" spans="1:13" s="288" customFormat="1" ht="13.5" customHeight="1">
      <c r="A51" s="614" t="s">
        <v>363</v>
      </c>
      <c r="B51" s="520"/>
      <c r="C51" s="520"/>
      <c r="D51" s="520"/>
      <c r="E51" s="520"/>
      <c r="F51" s="520"/>
      <c r="G51" s="615"/>
      <c r="L51" s="287"/>
      <c r="M51" s="287"/>
    </row>
    <row r="52" spans="1:13" s="288" customFormat="1" ht="13.5" customHeight="1">
      <c r="A52" s="614" t="s">
        <v>526</v>
      </c>
      <c r="B52" s="520"/>
      <c r="C52" s="520"/>
      <c r="D52" s="520"/>
      <c r="E52" s="520"/>
      <c r="F52" s="520"/>
      <c r="G52" s="615"/>
      <c r="L52" s="287"/>
      <c r="M52" s="287"/>
    </row>
    <row r="53" spans="1:13" s="288" customFormat="1" ht="13.5" customHeight="1">
      <c r="A53" s="614" t="s">
        <v>366</v>
      </c>
      <c r="B53" s="520"/>
      <c r="C53" s="520"/>
      <c r="D53" s="520"/>
      <c r="E53" s="520"/>
      <c r="F53" s="520"/>
      <c r="G53" s="615"/>
      <c r="L53" s="287"/>
      <c r="M53" s="287"/>
    </row>
    <row r="54" spans="1:13" s="288" customFormat="1" ht="13.5" customHeight="1">
      <c r="A54" s="614" t="s">
        <v>527</v>
      </c>
      <c r="B54" s="520"/>
      <c r="C54" s="520"/>
      <c r="D54" s="520"/>
      <c r="E54" s="520"/>
      <c r="F54" s="520"/>
      <c r="G54" s="615"/>
      <c r="L54" s="287"/>
      <c r="M54" s="287"/>
    </row>
    <row r="55" spans="1:13" s="288" customFormat="1" ht="13.5" customHeight="1">
      <c r="A55" s="614" t="s">
        <v>417</v>
      </c>
      <c r="B55" s="520"/>
      <c r="C55" s="520"/>
      <c r="D55" s="520"/>
      <c r="E55" s="520"/>
      <c r="F55" s="520"/>
      <c r="G55" s="615"/>
      <c r="L55" s="287"/>
      <c r="M55" s="287"/>
    </row>
    <row r="56" spans="1:13" s="288" customFormat="1" ht="13.5" customHeight="1">
      <c r="A56" s="614" t="s">
        <v>986</v>
      </c>
      <c r="B56" s="520"/>
      <c r="C56" s="520"/>
      <c r="D56" s="520"/>
      <c r="E56" s="520"/>
      <c r="F56" s="520"/>
      <c r="G56" s="615"/>
      <c r="L56" s="287"/>
      <c r="M56" s="287"/>
    </row>
    <row r="57" spans="1:13" s="288" customFormat="1" ht="6" customHeight="1">
      <c r="A57" s="614"/>
      <c r="B57" s="520"/>
      <c r="C57" s="520"/>
      <c r="D57" s="520"/>
      <c r="E57" s="520"/>
      <c r="F57" s="520"/>
      <c r="G57" s="615"/>
      <c r="L57" s="287"/>
      <c r="M57" s="287"/>
    </row>
    <row r="58" spans="1:13" s="288" customFormat="1" ht="21">
      <c r="A58" s="250" t="s">
        <v>114</v>
      </c>
      <c r="B58" s="301">
        <f>$B$1</f>
        <v>7</v>
      </c>
      <c r="C58" s="251" t="s">
        <v>39</v>
      </c>
      <c r="D58" s="252" t="str">
        <f>$E$1</f>
        <v>遭遇毎</v>
      </c>
      <c r="E58" s="691" t="str">
        <f>$B$2</f>
        <v>タイド・オヴ・ザ・ファースト・ストーム</v>
      </c>
      <c r="F58" s="692"/>
      <c r="G58" s="693"/>
      <c r="L58" s="287"/>
      <c r="M58" s="287"/>
    </row>
  </sheetData>
  <mergeCells count="56">
    <mergeCell ref="E58:G58"/>
    <mergeCell ref="A45:G45"/>
    <mergeCell ref="A48:G48"/>
    <mergeCell ref="A44:G44"/>
    <mergeCell ref="A46:G46"/>
    <mergeCell ref="A47:G47"/>
    <mergeCell ref="A53:G53"/>
    <mergeCell ref="A54:G54"/>
    <mergeCell ref="A55:G55"/>
    <mergeCell ref="A56:G56"/>
    <mergeCell ref="A57:G57"/>
    <mergeCell ref="A43:G43"/>
    <mergeCell ref="A49:G49"/>
    <mergeCell ref="A50:G50"/>
    <mergeCell ref="A51:G51"/>
    <mergeCell ref="A52:G52"/>
    <mergeCell ref="A38:G38"/>
    <mergeCell ref="A39:G39"/>
    <mergeCell ref="A40:G40"/>
    <mergeCell ref="A41:G41"/>
    <mergeCell ref="A42:G42"/>
    <mergeCell ref="A33:G33"/>
    <mergeCell ref="A34:G34"/>
    <mergeCell ref="A35:G35"/>
    <mergeCell ref="A36:G36"/>
    <mergeCell ref="A37:G37"/>
    <mergeCell ref="A24:A27"/>
    <mergeCell ref="A28:G28"/>
    <mergeCell ref="A29:G29"/>
    <mergeCell ref="A32:G32"/>
    <mergeCell ref="A30:G30"/>
    <mergeCell ref="A31:G31"/>
    <mergeCell ref="B16:G16"/>
    <mergeCell ref="A18:C19"/>
    <mergeCell ref="D18:E18"/>
    <mergeCell ref="F18:G18"/>
    <mergeCell ref="A20:A23"/>
    <mergeCell ref="C20:C23"/>
    <mergeCell ref="J11:K11"/>
    <mergeCell ref="B12:G12"/>
    <mergeCell ref="B13:G13"/>
    <mergeCell ref="B14:G14"/>
    <mergeCell ref="B15:G15"/>
    <mergeCell ref="B11:G11"/>
    <mergeCell ref="B10:G10"/>
    <mergeCell ref="B1:C1"/>
    <mergeCell ref="F1:G1"/>
    <mergeCell ref="B2:G2"/>
    <mergeCell ref="B4:G4"/>
    <mergeCell ref="B6:D6"/>
    <mergeCell ref="J9:K9"/>
    <mergeCell ref="B7:D7"/>
    <mergeCell ref="B8:G8"/>
    <mergeCell ref="B9:G9"/>
    <mergeCell ref="H4:M4"/>
    <mergeCell ref="B5:G5"/>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 type="list" allowBlank="1" showInputMessage="1" showErrorMessage="1">
          <x14:formula1>
            <xm:f>基本!$A$5:$A$10</xm:f>
          </x14:formula1>
          <xm:sqref>I8 I10 K15</xm:sqref>
        </x14:dataValidation>
        <x14:dataValidation type="list" allowBlank="1" showInputMessage="1" showErrorMessage="1">
          <x14:formula1>
            <xm:f>基本!$D$27:$D$31</xm:f>
          </x14:formula1>
          <xm:sqref>I7</xm:sqref>
        </x14:dataValidation>
        <x14:dataValidation type="list" allowBlank="1" showInputMessage="1" showErrorMessage="1">
          <x14:formula1>
            <xm:f>基本!$A$16:$A$19</xm:f>
          </x14:formula1>
          <xm:sqref>K8</xm:sqref>
        </x14:dataValidation>
        <x14:dataValidation type="list" allowBlank="1" showInputMessage="1" showErrorMessage="1">
          <x14:formula1>
            <xm:f>基本!$C$27:$C$37</xm:f>
          </x14:formula1>
          <xm:sqref>I15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N58"/>
  <sheetViews>
    <sheetView zoomScaleNormal="100" workbookViewId="0">
      <selection activeCell="B2" sqref="B2:G2"/>
    </sheetView>
  </sheetViews>
  <sheetFormatPr defaultRowHeight="13.5"/>
  <cols>
    <col min="1" max="1" width="7.875" style="287" customWidth="1"/>
    <col min="2" max="2" width="8.5" style="287" customWidth="1"/>
    <col min="3" max="3" width="6.625" style="287" customWidth="1"/>
    <col min="4" max="4" width="15.75" style="287" customWidth="1"/>
    <col min="5" max="6" width="15.75" style="288" customWidth="1"/>
    <col min="7" max="7" width="18.25" style="288" customWidth="1"/>
    <col min="8" max="8" width="17.375" style="288" customWidth="1"/>
    <col min="9" max="9" width="14.625" style="288" customWidth="1"/>
    <col min="10" max="10" width="8.375" style="288" customWidth="1"/>
    <col min="11" max="11" width="7.5" style="288" customWidth="1"/>
    <col min="12" max="13" width="7.875" style="287" customWidth="1"/>
    <col min="14" max="14" width="9.25" style="287" customWidth="1"/>
    <col min="15" max="15" width="12.375" style="287" customWidth="1"/>
    <col min="16" max="16384" width="9" style="287"/>
  </cols>
  <sheetData>
    <row r="1" spans="1:14" ht="21">
      <c r="A1" s="253" t="s">
        <v>32</v>
      </c>
      <c r="B1" s="676">
        <v>11</v>
      </c>
      <c r="C1" s="677"/>
      <c r="D1" s="254" t="s">
        <v>39</v>
      </c>
      <c r="E1" s="255" t="s">
        <v>111</v>
      </c>
      <c r="F1" s="678"/>
      <c r="G1" s="679"/>
      <c r="H1" s="244" t="s">
        <v>54</v>
      </c>
    </row>
    <row r="2" spans="1:14" ht="24.75" customHeight="1">
      <c r="A2" s="254" t="s">
        <v>0</v>
      </c>
      <c r="B2" s="680" t="s">
        <v>572</v>
      </c>
      <c r="C2" s="680"/>
      <c r="D2" s="680"/>
      <c r="E2" s="680"/>
      <c r="F2" s="680"/>
      <c r="G2" s="680"/>
      <c r="H2" s="244" t="s">
        <v>55</v>
      </c>
    </row>
    <row r="3" spans="1:14" ht="19.5" customHeight="1">
      <c r="A3" s="246" t="s">
        <v>47</v>
      </c>
      <c r="B3" s="288"/>
      <c r="C3" s="288"/>
      <c r="D3" s="288"/>
      <c r="I3" s="244"/>
    </row>
    <row r="4" spans="1:14">
      <c r="A4" s="260" t="s">
        <v>45</v>
      </c>
      <c r="B4" s="628" t="s">
        <v>446</v>
      </c>
      <c r="C4" s="629"/>
      <c r="D4" s="629"/>
      <c r="E4" s="629"/>
      <c r="F4" s="629"/>
      <c r="G4" s="630"/>
      <c r="H4" s="539" t="s">
        <v>980</v>
      </c>
      <c r="I4" s="540"/>
      <c r="J4" s="540"/>
      <c r="K4" s="540"/>
      <c r="L4" s="540"/>
      <c r="M4" s="541"/>
    </row>
    <row r="5" spans="1:14">
      <c r="A5" s="261" t="s">
        <v>38</v>
      </c>
      <c r="B5" s="628" t="s">
        <v>415</v>
      </c>
      <c r="C5" s="629"/>
      <c r="D5" s="629"/>
      <c r="E5" s="629"/>
      <c r="F5" s="629"/>
      <c r="G5" s="630"/>
      <c r="H5" s="291" t="s">
        <v>42</v>
      </c>
      <c r="I5" s="290" t="s">
        <v>69</v>
      </c>
      <c r="J5" s="290"/>
    </row>
    <row r="6" spans="1:14">
      <c r="A6" s="261" t="s">
        <v>7</v>
      </c>
      <c r="B6" s="628" t="s">
        <v>5</v>
      </c>
      <c r="C6" s="629"/>
      <c r="D6" s="630"/>
      <c r="E6" s="291" t="s">
        <v>42</v>
      </c>
      <c r="F6" s="272" t="str">
        <f>$I$5</f>
        <v>近接範囲</v>
      </c>
      <c r="G6" s="289" t="str">
        <f>IF($J$5 = 0,"", $J$5)</f>
        <v/>
      </c>
      <c r="H6" s="291" t="s">
        <v>65</v>
      </c>
      <c r="I6" s="290" t="s">
        <v>66</v>
      </c>
      <c r="J6" s="295" t="s">
        <v>486</v>
      </c>
    </row>
    <row r="7" spans="1:14">
      <c r="A7" s="262" t="s">
        <v>6</v>
      </c>
      <c r="B7" s="628" t="s">
        <v>287</v>
      </c>
      <c r="C7" s="629"/>
      <c r="D7" s="630"/>
      <c r="E7" s="291" t="s">
        <v>65</v>
      </c>
      <c r="F7" s="272" t="str">
        <f>IF($I$6 = 0,"", $I$6)</f>
        <v>爆発</v>
      </c>
      <c r="G7" s="272" t="str">
        <f>IF($J$6 = 0,"", $J$6)</f>
        <v>2 ( or 3 )</v>
      </c>
      <c r="H7" s="291" t="s">
        <v>84</v>
      </c>
      <c r="I7" s="290" t="s">
        <v>112</v>
      </c>
      <c r="J7" s="244" t="s">
        <v>61</v>
      </c>
      <c r="L7" s="230" t="s">
        <v>343</v>
      </c>
    </row>
    <row r="8" spans="1:14">
      <c r="A8" s="262" t="s">
        <v>8</v>
      </c>
      <c r="B8" s="628" t="s">
        <v>185</v>
      </c>
      <c r="C8" s="629"/>
      <c r="D8" s="629"/>
      <c r="E8" s="629"/>
      <c r="F8" s="629"/>
      <c r="G8" s="630"/>
      <c r="H8" s="291" t="s">
        <v>50</v>
      </c>
      <c r="I8" s="290" t="s">
        <v>139</v>
      </c>
      <c r="J8" s="289">
        <f>IF($I$8 = "筋力",基本!$C$5,IF($I$8 = "耐久力",基本!$C$6,IF($I$8 = "敏捷力",基本!$C$7,IF($I$8 = "知力",基本!$C$8,IF($I$8 = "判断力",基本!$C$9,IF($I$8 = "判断力",基本!$C$10,""))))))</f>
        <v>7</v>
      </c>
      <c r="K8" s="290" t="s">
        <v>21</v>
      </c>
      <c r="L8" s="229">
        <f>$J$8+$L$9+$I$9</f>
        <v>22</v>
      </c>
    </row>
    <row r="9" spans="1:14" ht="14.25" customHeight="1">
      <c r="A9" s="274" t="s">
        <v>371</v>
      </c>
      <c r="B9" s="642" t="s">
        <v>447</v>
      </c>
      <c r="C9" s="643"/>
      <c r="D9" s="643"/>
      <c r="E9" s="643"/>
      <c r="F9" s="643"/>
      <c r="G9" s="644"/>
      <c r="H9" s="291" t="s">
        <v>57</v>
      </c>
      <c r="I9" s="290">
        <v>0</v>
      </c>
      <c r="J9" s="539" t="s">
        <v>52</v>
      </c>
      <c r="K9" s="541"/>
      <c r="L9" s="289">
        <f>IF($I$7=基本!$F$4,基本!$O$7,IF($I$7=基本!$F$13,基本!$O$16,IF($I$7=基本!$F$22,基本!$O$25,IF($I$7=基本!$F$31,基本!$O$34,IF($I$7=基本!$F$40,基本!$O$43,0)))))</f>
        <v>15</v>
      </c>
    </row>
    <row r="10" spans="1:14" ht="14.25" customHeight="1">
      <c r="A10" s="274"/>
      <c r="B10" s="645" t="s">
        <v>448</v>
      </c>
      <c r="C10" s="646"/>
      <c r="D10" s="646"/>
      <c r="E10" s="646"/>
      <c r="F10" s="646"/>
      <c r="G10" s="647"/>
      <c r="H10" s="292" t="s">
        <v>51</v>
      </c>
      <c r="I10" s="290" t="s">
        <v>139</v>
      </c>
      <c r="J10" s="249">
        <f>IF($I$10 = "筋力",基本!$C$5,IF($I$10 = "耐久力",基本!$C$6,IF($I$10 = "敏捷力",基本!$C$7,IF($I$10 = "知力",基本!$C$8,IF($I$10 = "判断力",基本!$C$9,IF($I$10 = "判断力",基本!$C$10,""))))))</f>
        <v>7</v>
      </c>
      <c r="K10" s="513" t="s">
        <v>15</v>
      </c>
      <c r="L10" s="512">
        <f>IF(K10="",0,VLOOKUP(K10,基本!$A$5:'基本'!$C$10,3,FALSE))</f>
        <v>3</v>
      </c>
    </row>
    <row r="11" spans="1:14" ht="14.25" customHeight="1">
      <c r="A11" s="274"/>
      <c r="B11" s="645" t="s">
        <v>449</v>
      </c>
      <c r="C11" s="646"/>
      <c r="D11" s="646"/>
      <c r="E11" s="646"/>
      <c r="F11" s="646"/>
      <c r="G11" s="647"/>
      <c r="H11" s="291" t="s">
        <v>58</v>
      </c>
      <c r="I11" s="290">
        <v>0</v>
      </c>
      <c r="J11" s="539" t="s">
        <v>53</v>
      </c>
      <c r="K11" s="541"/>
      <c r="L11" s="289">
        <f>IF($I$7=基本!$F$4,基本!$O$9,IF($I$7=基本!$F$13,基本!$O$18,IF($I$7=基本!$F$22,基本!$O$27,IF($I$7=基本!$F$31,基本!$O$36,IF($I$7=基本!$F$40,基本!$O$45,0)))))</f>
        <v>4</v>
      </c>
    </row>
    <row r="12" spans="1:14">
      <c r="A12" s="274"/>
      <c r="B12" s="645" t="s">
        <v>450</v>
      </c>
      <c r="C12" s="646"/>
      <c r="D12" s="646"/>
      <c r="E12" s="646"/>
      <c r="F12" s="646"/>
      <c r="G12" s="647"/>
      <c r="J12" s="287"/>
      <c r="K12" s="287"/>
      <c r="L12" s="230" t="s">
        <v>343</v>
      </c>
      <c r="M12" s="506" t="s">
        <v>59</v>
      </c>
    </row>
    <row r="13" spans="1:14" ht="2.25" customHeight="1">
      <c r="A13" s="274"/>
      <c r="B13" s="645"/>
      <c r="C13" s="646"/>
      <c r="D13" s="646"/>
      <c r="E13" s="646"/>
      <c r="F13" s="646"/>
      <c r="G13" s="647"/>
      <c r="H13" s="511" t="s">
        <v>85</v>
      </c>
      <c r="I13" s="513">
        <v>3</v>
      </c>
      <c r="J13" s="511" t="s">
        <v>43</v>
      </c>
      <c r="K13" s="513">
        <v>6</v>
      </c>
      <c r="L13" s="229">
        <f>J10+IF(I13=0,0,L11)+I11</f>
        <v>11</v>
      </c>
      <c r="M13" s="513"/>
      <c r="N13" s="256"/>
    </row>
    <row r="14" spans="1:14" ht="2.25" customHeight="1">
      <c r="A14" s="266"/>
      <c r="B14" s="684"/>
      <c r="C14" s="685"/>
      <c r="D14" s="685"/>
      <c r="E14" s="685"/>
      <c r="F14" s="685"/>
      <c r="G14" s="686"/>
      <c r="H14" s="511" t="s">
        <v>49</v>
      </c>
      <c r="I14" s="245">
        <f>IF($I$7=基本!$F$4,基本!$L$11,IF($I$7=基本!$F$13,基本!$L$20,IF($I$7=基本!$F$22,基本!$L$29,IF($I$7=基本!$F$31,基本!$L$38,IF($I$7=基本!$F$40,基本!$L$47,0)))))</f>
        <v>5</v>
      </c>
      <c r="J14" s="511" t="s">
        <v>43</v>
      </c>
      <c r="K14" s="245">
        <f>IF($I$7=基本!$F$4,基本!$N$11,IF($I$7=基本!$F$13,基本!$N$20,IF($I$7=基本!$F$22,基本!$N$29,IF($I$7=基本!$F$31,基本!$N$38,IF($I$7=基本!$F$40,基本!$N$47,0)))))</f>
        <v>12</v>
      </c>
      <c r="L14" s="229">
        <f>L13+(I13*K13)</f>
        <v>29</v>
      </c>
      <c r="M14" s="513"/>
      <c r="N14" s="256"/>
    </row>
    <row r="15" spans="1:14" ht="2.25" customHeight="1">
      <c r="A15" s="274"/>
      <c r="B15" s="684"/>
      <c r="C15" s="685"/>
      <c r="D15" s="685"/>
      <c r="E15" s="685"/>
      <c r="F15" s="685"/>
      <c r="G15" s="686"/>
      <c r="H15" s="511" t="s">
        <v>982</v>
      </c>
      <c r="I15" s="245">
        <f>I14+2</f>
        <v>7</v>
      </c>
      <c r="J15" s="511" t="s">
        <v>43</v>
      </c>
      <c r="K15" s="245">
        <f>IF($I$7=基本!$F$4,基本!$N$11,IF($I$7=基本!$F$13,基本!$N$20,IF($I$7=基本!$F$22,基本!$N$29,IF($I$7=基本!$F$31,基本!$N$38,IF($I$7=基本!$F$40,基本!$N$47,0)))))</f>
        <v>12</v>
      </c>
      <c r="L15" s="229">
        <f>L14</f>
        <v>29</v>
      </c>
      <c r="M15" s="515">
        <f>L15+(I15*K15)</f>
        <v>113</v>
      </c>
    </row>
    <row r="16" spans="1:14" ht="2.25" customHeight="1">
      <c r="A16" s="264"/>
      <c r="B16" s="603"/>
      <c r="C16" s="604"/>
      <c r="D16" s="604"/>
      <c r="E16" s="604"/>
      <c r="F16" s="604"/>
      <c r="G16" s="605"/>
      <c r="H16" s="287"/>
      <c r="I16" s="287"/>
      <c r="J16" s="287"/>
      <c r="K16" s="287"/>
    </row>
    <row r="17" spans="1:11" ht="14.25" thickBot="1">
      <c r="A17" s="265" t="s">
        <v>46</v>
      </c>
      <c r="E17" s="241"/>
      <c r="H17" s="287"/>
      <c r="I17" s="287"/>
      <c r="J17" s="287"/>
      <c r="K17" s="287"/>
    </row>
    <row r="18" spans="1:11" ht="15" customHeight="1">
      <c r="A18" s="701" t="str">
        <f>$B$2</f>
        <v>アドモニシング・ウィスパー</v>
      </c>
      <c r="B18" s="702"/>
      <c r="C18" s="703"/>
      <c r="D18" s="662" t="s">
        <v>2</v>
      </c>
      <c r="E18" s="663"/>
      <c r="F18" s="664" t="s">
        <v>479</v>
      </c>
      <c r="G18" s="665"/>
      <c r="H18" s="287"/>
      <c r="I18" s="287"/>
      <c r="J18" s="287"/>
      <c r="K18" s="287"/>
    </row>
    <row r="19" spans="1:11" ht="18.75" customHeight="1" thickBot="1">
      <c r="A19" s="704"/>
      <c r="B19" s="705"/>
      <c r="C19" s="706"/>
      <c r="D19" s="312" t="s">
        <v>2</v>
      </c>
      <c r="E19" s="313" t="s">
        <v>1</v>
      </c>
      <c r="F19" s="312" t="s">
        <v>2</v>
      </c>
      <c r="G19" s="314" t="s">
        <v>1</v>
      </c>
      <c r="H19" s="287"/>
      <c r="I19" s="287"/>
      <c r="J19" s="287"/>
      <c r="K19" s="287"/>
    </row>
    <row r="20" spans="1:11" ht="24" customHeight="1">
      <c r="A20" s="611" t="s">
        <v>41</v>
      </c>
      <c r="B20" s="315" t="s">
        <v>113</v>
      </c>
      <c r="C20" s="666" t="str">
        <f>$K$8</f>
        <v>意志</v>
      </c>
      <c r="D20" s="316" t="str">
        <f>$L$8 &amp; "+1d20"</f>
        <v>22+1d20</v>
      </c>
      <c r="E20" s="317" t="str">
        <f>$L$8+2 &amp; "+1d20"</f>
        <v>24+1d20</v>
      </c>
      <c r="F20" s="316" t="str">
        <f>$L$8 &amp; "+1d20"</f>
        <v>22+1d20</v>
      </c>
      <c r="G20" s="318" t="str">
        <f>$L$8+2 &amp; "+1d20"</f>
        <v>24+1d20</v>
      </c>
      <c r="H20" s="287"/>
      <c r="I20" s="287"/>
      <c r="J20" s="287"/>
      <c r="K20" s="287"/>
    </row>
    <row r="21" spans="1:11" ht="24" customHeight="1">
      <c r="A21" s="612"/>
      <c r="B21" s="332" t="s">
        <v>483</v>
      </c>
      <c r="C21" s="667"/>
      <c r="D21" s="325" t="str">
        <f>2+$L$8 &amp; "+1d20"</f>
        <v>24+1d20</v>
      </c>
      <c r="E21" s="326" t="str">
        <f>2+$L$8+2 &amp; "+1d20"</f>
        <v>26+1d20</v>
      </c>
      <c r="F21" s="325" t="str">
        <f>2+$L$8 &amp; "+1d20"</f>
        <v>24+1d20</v>
      </c>
      <c r="G21" s="327" t="str">
        <f>2+$L$8+2 &amp; "+1d20"</f>
        <v>26+1d20</v>
      </c>
      <c r="H21" s="287"/>
      <c r="I21" s="287"/>
      <c r="J21" s="287"/>
      <c r="K21" s="287"/>
    </row>
    <row r="22" spans="1:11" ht="24" customHeight="1">
      <c r="A22" s="612"/>
      <c r="B22" s="328" t="s">
        <v>476</v>
      </c>
      <c r="C22" s="667"/>
      <c r="D22" s="329" t="str">
        <f>3+$L$8 &amp; "+1d20"</f>
        <v>25+1d20</v>
      </c>
      <c r="E22" s="330" t="str">
        <f>3+$L$8+2 &amp; "+1d20"</f>
        <v>27+1d20</v>
      </c>
      <c r="F22" s="329" t="str">
        <f>3+$L$8 &amp; "+1d20"</f>
        <v>25+1d20</v>
      </c>
      <c r="G22" s="331" t="str">
        <f>3+$L$8+2 &amp; "+1d20"</f>
        <v>27+1d20</v>
      </c>
      <c r="H22" s="287"/>
      <c r="I22" s="287"/>
      <c r="J22" s="287"/>
      <c r="K22" s="287"/>
    </row>
    <row r="23" spans="1:11" ht="24" customHeight="1" thickBot="1">
      <c r="A23" s="613"/>
      <c r="B23" s="324" t="s">
        <v>482</v>
      </c>
      <c r="C23" s="668"/>
      <c r="D23" s="319" t="str">
        <f>2+3+$L$8 &amp; "+1d20"</f>
        <v>27+1d20</v>
      </c>
      <c r="E23" s="320" t="str">
        <f>2+3+$L$8+2 &amp; "+1d20"</f>
        <v>29+1d20</v>
      </c>
      <c r="F23" s="319" t="str">
        <f>2+3+$L$8 &amp; "+1d20"</f>
        <v>27+1d20</v>
      </c>
      <c r="G23" s="321" t="str">
        <f>2+3+$L$8+2 &amp; "+1d20"</f>
        <v>29+1d20</v>
      </c>
      <c r="H23" s="287"/>
      <c r="I23" s="287"/>
      <c r="J23" s="287"/>
      <c r="K23" s="287"/>
    </row>
    <row r="24" spans="1:11" ht="18" customHeight="1">
      <c r="A24" s="631" t="s">
        <v>113</v>
      </c>
      <c r="B24" s="257" t="s">
        <v>4</v>
      </c>
      <c r="C24" s="233" t="str">
        <f>IF($M$13 = 0,"", $M$13)</f>
        <v/>
      </c>
      <c r="D24" s="234" t="str">
        <f>$L$13 &amp; "+" &amp; $I$13 &amp; "d" &amp; $K$13</f>
        <v>11+3d6</v>
      </c>
      <c r="E24" s="234" t="str">
        <f>$L$13 &amp; "+" &amp; $I$13 &amp; "d" &amp; $K$13</f>
        <v>11+3d6</v>
      </c>
      <c r="F24" s="234" t="str">
        <f>$L$13+3 &amp; "+" &amp; $I$13 &amp; "d" &amp; $K$13</f>
        <v>14+3d6</v>
      </c>
      <c r="G24" s="235" t="str">
        <f>$L$13+3 &amp; "+" &amp; $I$13 &amp; "d" &amp; $K$13</f>
        <v>14+3d6</v>
      </c>
      <c r="H24" s="287"/>
      <c r="I24" s="287"/>
      <c r="J24" s="287"/>
      <c r="K24" s="287"/>
    </row>
    <row r="25" spans="1:11" ht="18" customHeight="1">
      <c r="A25" s="632"/>
      <c r="B25" s="359" t="s">
        <v>3</v>
      </c>
      <c r="C25" s="360" t="str">
        <f>IF($M$14 = 0,"", $M$14)</f>
        <v/>
      </c>
      <c r="D25" s="361" t="str">
        <f>$L$14 &amp; "+2d6" &amp; IF($I$14 = 0,"","+" &amp; $I$14 &amp; "d" &amp; $K$14)</f>
        <v>29+2d6+5d12</v>
      </c>
      <c r="E25" s="361" t="str">
        <f>$L$14 &amp; "+2d6" &amp; IF($I$14 = 0,"","+" &amp; $I$14 &amp; "d" &amp; $K$14)</f>
        <v>29+2d6+5d12</v>
      </c>
      <c r="F25" s="361" t="str">
        <f>$L$14+3 &amp; "+2d6" &amp; IF($I$14 = 0,"","+" &amp; $I$14 &amp; "d" &amp; $K$14)</f>
        <v>32+2d6+5d12</v>
      </c>
      <c r="G25" s="363" t="str">
        <f>$L$14+3 &amp; "+2d6" &amp; IF($I$14 = 0,"","+" &amp; $I$14 &amp; "d" &amp; $K$14)</f>
        <v>32+2d6+5d12</v>
      </c>
      <c r="H25" s="287"/>
      <c r="I25" s="287"/>
      <c r="J25" s="287"/>
      <c r="K25" s="287"/>
    </row>
    <row r="26" spans="1:11" ht="18" customHeight="1">
      <c r="A26" s="632"/>
      <c r="B26" s="359" t="s">
        <v>982</v>
      </c>
      <c r="C26" s="360" t="str">
        <f>IF($M$14 = 0,"", $M$14)</f>
        <v/>
      </c>
      <c r="D26" s="361" t="str">
        <f>$L$15 &amp; "+2d6" &amp; IF($I$15 = 0,"","+" &amp; $I$15 &amp; "d" &amp; $K$15)</f>
        <v>29+2d6+7d12</v>
      </c>
      <c r="E26" s="361" t="str">
        <f>$L$15 &amp; "+2d6" &amp; IF($I$15 = 0,"","+" &amp; $I$15 &amp; "d" &amp; $K$15)</f>
        <v>29+2d6+7d12</v>
      </c>
      <c r="F26" s="361" t="str">
        <f>$L$15+3 &amp; "+2d6" &amp; IF($I$15 = 0,"","+" &amp; $I$15 &amp; "d" &amp; $K$15)</f>
        <v>32+2d6+7d12</v>
      </c>
      <c r="G26" s="363" t="str">
        <f>$L$15+3 &amp; "+2d6" &amp; IF($I$15 = 0,"","+" &amp; $I$15 &amp; "d" &amp; $K$15)</f>
        <v>32+2d6+7d12</v>
      </c>
      <c r="H26" s="287"/>
      <c r="I26" s="287"/>
      <c r="J26" s="287"/>
      <c r="K26" s="287"/>
    </row>
    <row r="27" spans="1:11" ht="18" customHeight="1" thickBot="1">
      <c r="A27" s="633"/>
      <c r="B27" s="514" t="s">
        <v>981</v>
      </c>
      <c r="C27" s="507" t="str">
        <f>IF($M$14 = 0,"", $M$14)</f>
        <v/>
      </c>
      <c r="D27" s="508">
        <f>$M$15+12</f>
        <v>125</v>
      </c>
      <c r="E27" s="508">
        <f>$M$15+12</f>
        <v>125</v>
      </c>
      <c r="F27" s="508">
        <f>$M$15+3+12</f>
        <v>128</v>
      </c>
      <c r="G27" s="509">
        <f>$M$15+3+12</f>
        <v>128</v>
      </c>
      <c r="H27" s="287"/>
      <c r="I27" s="287"/>
      <c r="J27" s="287"/>
      <c r="K27" s="287"/>
    </row>
    <row r="28" spans="1:11" ht="8.25" customHeight="1">
      <c r="A28" s="523"/>
      <c r="B28" s="523"/>
      <c r="C28" s="523"/>
      <c r="D28" s="523"/>
      <c r="E28" s="523"/>
      <c r="F28" s="523"/>
      <c r="G28" s="523"/>
    </row>
    <row r="29" spans="1:11" ht="14.25">
      <c r="A29" s="517" t="s">
        <v>493</v>
      </c>
      <c r="B29" s="517"/>
      <c r="C29" s="517"/>
      <c r="D29" s="517"/>
      <c r="E29" s="517"/>
      <c r="F29" s="517"/>
      <c r="G29" s="517"/>
    </row>
    <row r="30" spans="1:11" ht="14.25">
      <c r="A30" s="517" t="s">
        <v>815</v>
      </c>
      <c r="B30" s="517"/>
      <c r="C30" s="517"/>
      <c r="D30" s="517"/>
      <c r="E30" s="517"/>
      <c r="F30" s="517"/>
      <c r="G30" s="517"/>
      <c r="I30" s="287"/>
      <c r="J30" s="287"/>
      <c r="K30" s="287"/>
    </row>
    <row r="31" spans="1:11" ht="14.25">
      <c r="A31" s="517" t="s">
        <v>809</v>
      </c>
      <c r="B31" s="517"/>
      <c r="C31" s="517"/>
      <c r="D31" s="517"/>
      <c r="E31" s="517"/>
      <c r="F31" s="517"/>
      <c r="G31" s="517"/>
      <c r="I31" s="287"/>
      <c r="J31" s="287"/>
      <c r="K31" s="287"/>
    </row>
    <row r="32" spans="1:11" ht="14.25">
      <c r="A32" s="517" t="s">
        <v>147</v>
      </c>
      <c r="B32" s="517"/>
      <c r="C32" s="517"/>
      <c r="D32" s="517"/>
      <c r="E32" s="517"/>
      <c r="F32" s="517"/>
      <c r="G32" s="517"/>
      <c r="I32" s="287"/>
      <c r="J32" s="287"/>
      <c r="K32" s="287"/>
    </row>
    <row r="33" spans="1:13" ht="14.25">
      <c r="A33" s="517" t="s">
        <v>437</v>
      </c>
      <c r="B33" s="517"/>
      <c r="C33" s="517"/>
      <c r="D33" s="517"/>
      <c r="E33" s="517"/>
      <c r="F33" s="517"/>
      <c r="G33" s="517"/>
      <c r="I33" s="287"/>
      <c r="J33" s="287"/>
      <c r="K33" s="287"/>
    </row>
    <row r="34" spans="1:13" ht="13.5" customHeight="1">
      <c r="A34" s="529" t="s">
        <v>506</v>
      </c>
      <c r="B34" s="529"/>
      <c r="C34" s="529"/>
      <c r="D34" s="529"/>
      <c r="E34" s="529"/>
      <c r="F34" s="529"/>
      <c r="G34" s="529"/>
    </row>
    <row r="35" spans="1:13" ht="13.5" customHeight="1">
      <c r="A35" s="525" t="s">
        <v>507</v>
      </c>
      <c r="B35" s="525"/>
      <c r="C35" s="525"/>
      <c r="D35" s="525"/>
      <c r="E35" s="525"/>
      <c r="F35" s="525"/>
      <c r="G35" s="525"/>
    </row>
    <row r="36" spans="1:13" ht="14.25">
      <c r="A36" s="517" t="s">
        <v>973</v>
      </c>
      <c r="B36" s="517"/>
      <c r="C36" s="517"/>
      <c r="D36" s="517"/>
      <c r="E36" s="517"/>
      <c r="F36" s="517"/>
      <c r="G36" s="517"/>
      <c r="I36" s="287"/>
      <c r="J36" s="287"/>
      <c r="K36" s="287"/>
    </row>
    <row r="37" spans="1:13" ht="13.5" customHeight="1">
      <c r="A37" s="529" t="s">
        <v>440</v>
      </c>
      <c r="B37" s="529"/>
      <c r="C37" s="529"/>
      <c r="D37" s="529"/>
      <c r="E37" s="529"/>
      <c r="F37" s="529"/>
      <c r="G37" s="529"/>
    </row>
    <row r="38" spans="1:13" ht="13.5" customHeight="1">
      <c r="A38" s="525" t="s">
        <v>441</v>
      </c>
      <c r="B38" s="525"/>
      <c r="C38" s="525"/>
      <c r="D38" s="525"/>
      <c r="E38" s="525"/>
      <c r="F38" s="525"/>
      <c r="G38" s="525"/>
    </row>
    <row r="39" spans="1:13" ht="13.5" customHeight="1">
      <c r="A39" s="525" t="s">
        <v>442</v>
      </c>
      <c r="B39" s="525"/>
      <c r="C39" s="525"/>
      <c r="D39" s="525"/>
      <c r="E39" s="525"/>
      <c r="F39" s="525"/>
      <c r="G39" s="525"/>
    </row>
    <row r="40" spans="1:13" ht="8.25" customHeight="1">
      <c r="A40" s="604"/>
      <c r="B40" s="604"/>
      <c r="C40" s="604"/>
      <c r="D40" s="604"/>
      <c r="E40" s="604"/>
      <c r="F40" s="604"/>
      <c r="G40" s="604"/>
    </row>
    <row r="41" spans="1:13">
      <c r="A41" s="619" t="s">
        <v>48</v>
      </c>
      <c r="B41" s="620"/>
      <c r="C41" s="620"/>
      <c r="D41" s="620"/>
      <c r="E41" s="620"/>
      <c r="F41" s="620"/>
      <c r="G41" s="621"/>
    </row>
    <row r="42" spans="1:13" s="283" customFormat="1" ht="7.5" customHeight="1">
      <c r="A42" s="645"/>
      <c r="B42" s="646"/>
      <c r="C42" s="646"/>
      <c r="D42" s="646"/>
      <c r="E42" s="646"/>
      <c r="F42" s="646"/>
      <c r="G42" s="647"/>
      <c r="L42" s="284"/>
      <c r="M42" s="284"/>
    </row>
    <row r="43" spans="1:13" s="283" customFormat="1" ht="13.5" customHeight="1">
      <c r="A43" s="614" t="s">
        <v>579</v>
      </c>
      <c r="B43" s="520"/>
      <c r="C43" s="520"/>
      <c r="D43" s="520"/>
      <c r="E43" s="520"/>
      <c r="F43" s="520"/>
      <c r="G43" s="615"/>
      <c r="L43" s="284"/>
      <c r="M43" s="284"/>
    </row>
    <row r="44" spans="1:13" s="283" customFormat="1" ht="13.5" customHeight="1">
      <c r="A44" s="614" t="s">
        <v>565</v>
      </c>
      <c r="B44" s="520"/>
      <c r="C44" s="520"/>
      <c r="D44" s="520"/>
      <c r="E44" s="520"/>
      <c r="F44" s="520"/>
      <c r="G44" s="615"/>
      <c r="L44" s="284"/>
      <c r="M44" s="284"/>
    </row>
    <row r="45" spans="1:13" s="283" customFormat="1" ht="13.5" customHeight="1">
      <c r="A45" s="614" t="s">
        <v>567</v>
      </c>
      <c r="B45" s="520"/>
      <c r="C45" s="520"/>
      <c r="D45" s="520"/>
      <c r="E45" s="520"/>
      <c r="F45" s="520"/>
      <c r="G45" s="615"/>
      <c r="L45" s="284"/>
      <c r="M45" s="284"/>
    </row>
    <row r="46" spans="1:13" s="283" customFormat="1" ht="13.5" customHeight="1">
      <c r="A46" s="614" t="s">
        <v>575</v>
      </c>
      <c r="B46" s="520"/>
      <c r="C46" s="520"/>
      <c r="D46" s="520"/>
      <c r="E46" s="520"/>
      <c r="F46" s="520"/>
      <c r="G46" s="615"/>
      <c r="L46" s="284"/>
      <c r="M46" s="284"/>
    </row>
    <row r="47" spans="1:13" s="283" customFormat="1" ht="13.5" customHeight="1">
      <c r="A47" s="614" t="s">
        <v>987</v>
      </c>
      <c r="B47" s="520"/>
      <c r="C47" s="520"/>
      <c r="D47" s="520"/>
      <c r="E47" s="520"/>
      <c r="F47" s="520"/>
      <c r="G47" s="615"/>
      <c r="L47" s="284"/>
      <c r="M47" s="284"/>
    </row>
    <row r="48" spans="1:13" s="283" customFormat="1" ht="13.5" customHeight="1">
      <c r="A48" s="614" t="s">
        <v>576</v>
      </c>
      <c r="B48" s="520"/>
      <c r="C48" s="520"/>
      <c r="D48" s="520"/>
      <c r="E48" s="520"/>
      <c r="F48" s="520"/>
      <c r="G48" s="615"/>
      <c r="L48" s="284"/>
      <c r="M48" s="284"/>
    </row>
    <row r="49" spans="1:13" s="283" customFormat="1" ht="13.5" customHeight="1">
      <c r="A49" s="614" t="s">
        <v>580</v>
      </c>
      <c r="B49" s="520"/>
      <c r="C49" s="520"/>
      <c r="D49" s="520"/>
      <c r="E49" s="520"/>
      <c r="F49" s="520"/>
      <c r="G49" s="615"/>
      <c r="L49" s="284"/>
      <c r="M49" s="284"/>
    </row>
    <row r="50" spans="1:13" s="283" customFormat="1" ht="13.5" customHeight="1">
      <c r="A50" s="614" t="s">
        <v>581</v>
      </c>
      <c r="B50" s="520"/>
      <c r="C50" s="520"/>
      <c r="D50" s="520"/>
      <c r="E50" s="520"/>
      <c r="F50" s="520"/>
      <c r="G50" s="615"/>
      <c r="L50" s="284"/>
      <c r="M50" s="284"/>
    </row>
    <row r="51" spans="1:13" s="283" customFormat="1" ht="13.5" customHeight="1">
      <c r="A51" s="614" t="s">
        <v>569</v>
      </c>
      <c r="B51" s="520"/>
      <c r="C51" s="520"/>
      <c r="D51" s="520"/>
      <c r="E51" s="520"/>
      <c r="F51" s="520"/>
      <c r="G51" s="615"/>
      <c r="L51" s="284"/>
      <c r="M51" s="284"/>
    </row>
    <row r="52" spans="1:13" s="283" customFormat="1" ht="13.5" customHeight="1">
      <c r="A52" s="614" t="s">
        <v>568</v>
      </c>
      <c r="B52" s="520"/>
      <c r="C52" s="520"/>
      <c r="D52" s="520"/>
      <c r="E52" s="520"/>
      <c r="F52" s="520"/>
      <c r="G52" s="615"/>
      <c r="L52" s="284"/>
      <c r="M52" s="284"/>
    </row>
    <row r="53" spans="1:13" s="283" customFormat="1" ht="13.5" customHeight="1">
      <c r="A53" s="614" t="s">
        <v>577</v>
      </c>
      <c r="B53" s="520"/>
      <c r="C53" s="520"/>
      <c r="D53" s="520"/>
      <c r="E53" s="520"/>
      <c r="F53" s="520"/>
      <c r="G53" s="615"/>
      <c r="L53" s="284"/>
      <c r="M53" s="284"/>
    </row>
    <row r="54" spans="1:13" s="283" customFormat="1" ht="13.5" customHeight="1">
      <c r="A54" s="614" t="s">
        <v>578</v>
      </c>
      <c r="B54" s="520"/>
      <c r="C54" s="520"/>
      <c r="D54" s="520"/>
      <c r="E54" s="520"/>
      <c r="F54" s="520"/>
      <c r="G54" s="615"/>
      <c r="L54" s="284"/>
      <c r="M54" s="284"/>
    </row>
    <row r="55" spans="1:13" s="283" customFormat="1" ht="13.5" customHeight="1">
      <c r="A55" s="614" t="s">
        <v>571</v>
      </c>
      <c r="B55" s="520"/>
      <c r="C55" s="520"/>
      <c r="D55" s="520"/>
      <c r="E55" s="520"/>
      <c r="F55" s="520"/>
      <c r="G55" s="615"/>
      <c r="L55" s="284"/>
      <c r="M55" s="284"/>
    </row>
    <row r="56" spans="1:13" s="283" customFormat="1" ht="13.5" customHeight="1">
      <c r="A56" s="614" t="s">
        <v>988</v>
      </c>
      <c r="B56" s="520"/>
      <c r="C56" s="520"/>
      <c r="D56" s="520"/>
      <c r="E56" s="520"/>
      <c r="F56" s="520"/>
      <c r="G56" s="615"/>
      <c r="L56" s="284"/>
      <c r="M56" s="284"/>
    </row>
    <row r="57" spans="1:13" s="283" customFormat="1" ht="8.25" customHeight="1">
      <c r="A57" s="645"/>
      <c r="B57" s="646"/>
      <c r="C57" s="646"/>
      <c r="D57" s="646"/>
      <c r="E57" s="646"/>
      <c r="F57" s="646"/>
      <c r="G57" s="647"/>
      <c r="L57" s="284"/>
      <c r="M57" s="284"/>
    </row>
    <row r="58" spans="1:13" s="288" customFormat="1" ht="21">
      <c r="A58" s="250" t="s">
        <v>114</v>
      </c>
      <c r="B58" s="293">
        <f>$B$1</f>
        <v>11</v>
      </c>
      <c r="C58" s="251" t="s">
        <v>39</v>
      </c>
      <c r="D58" s="252" t="str">
        <f>$E$1</f>
        <v>遭遇毎</v>
      </c>
      <c r="E58" s="691" t="str">
        <f>$B$2</f>
        <v>アドモニシング・ウィスパー</v>
      </c>
      <c r="F58" s="692"/>
      <c r="G58" s="693"/>
      <c r="L58" s="287"/>
      <c r="M58" s="287"/>
    </row>
  </sheetData>
  <mergeCells count="56">
    <mergeCell ref="A56:G56"/>
    <mergeCell ref="A52:G52"/>
    <mergeCell ref="A57:G57"/>
    <mergeCell ref="E58:G58"/>
    <mergeCell ref="A53:G53"/>
    <mergeCell ref="A55:G55"/>
    <mergeCell ref="A54:G54"/>
    <mergeCell ref="C20:C23"/>
    <mergeCell ref="A29:G29"/>
    <mergeCell ref="A33:G33"/>
    <mergeCell ref="A34:G34"/>
    <mergeCell ref="A31:G31"/>
    <mergeCell ref="A30:G30"/>
    <mergeCell ref="A32:G32"/>
    <mergeCell ref="A24:A27"/>
    <mergeCell ref="J9:K9"/>
    <mergeCell ref="B10:G10"/>
    <mergeCell ref="B1:C1"/>
    <mergeCell ref="F1:G1"/>
    <mergeCell ref="B2:G2"/>
    <mergeCell ref="B4:G4"/>
    <mergeCell ref="B5:G5"/>
    <mergeCell ref="B6:D6"/>
    <mergeCell ref="B7:D7"/>
    <mergeCell ref="B8:G8"/>
    <mergeCell ref="B9:G9"/>
    <mergeCell ref="H4:M4"/>
    <mergeCell ref="B11:G11"/>
    <mergeCell ref="J11:K11"/>
    <mergeCell ref="B12:G12"/>
    <mergeCell ref="A43:G43"/>
    <mergeCell ref="A46:G46"/>
    <mergeCell ref="A44:G44"/>
    <mergeCell ref="A45:G45"/>
    <mergeCell ref="B13:G13"/>
    <mergeCell ref="B14:G14"/>
    <mergeCell ref="B15:G15"/>
    <mergeCell ref="B16:G16"/>
    <mergeCell ref="A28:G28"/>
    <mergeCell ref="A18:C19"/>
    <mergeCell ref="D18:E18"/>
    <mergeCell ref="F18:G18"/>
    <mergeCell ref="A20:A23"/>
    <mergeCell ref="A51:G51"/>
    <mergeCell ref="A47:G47"/>
    <mergeCell ref="A48:G48"/>
    <mergeCell ref="A49:G49"/>
    <mergeCell ref="A50:G50"/>
    <mergeCell ref="A35:G35"/>
    <mergeCell ref="A36:G36"/>
    <mergeCell ref="A42:G42"/>
    <mergeCell ref="A40:G40"/>
    <mergeCell ref="A41:G41"/>
    <mergeCell ref="A37:G37"/>
    <mergeCell ref="A38:G38"/>
    <mergeCell ref="A39:G39"/>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K8</xm:sqref>
        </x14:dataValidation>
        <x14:dataValidation type="list" allowBlank="1" showInputMessage="1" showErrorMessage="1">
          <x14:formula1>
            <xm:f>基本!$D$27:$D$31</xm:f>
          </x14:formula1>
          <xm:sqref>I7</xm:sqref>
        </x14:dataValidation>
        <x14:dataValidation type="list" allowBlank="1" showInputMessage="1" showErrorMessage="1">
          <x14:formula1>
            <xm:f>基本!$A$5:$A$10</xm:f>
          </x14:formula1>
          <xm:sqref>I8 I10 K15</xm:sqref>
        </x14:dataValidation>
        <x14:dataValidation type="list" allowBlank="1" showInputMessage="1" showErrorMessage="1">
          <x14:formula1>
            <xm:f>基本!$B$27:$B$31</xm:f>
          </x14:formula1>
          <xm:sqref>I6</xm:sqref>
        </x14:dataValidation>
        <x14:dataValidation type="list" allowBlank="1" showInputMessage="1" showErrorMessage="1">
          <x14:formula1>
            <xm:f>基本!$A$27:$A$33</xm:f>
          </x14:formula1>
          <xm:sqref>I5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N56"/>
  <sheetViews>
    <sheetView zoomScaleNormal="100" workbookViewId="0">
      <selection activeCell="B2" sqref="B2:G2"/>
    </sheetView>
  </sheetViews>
  <sheetFormatPr defaultRowHeight="13.5"/>
  <cols>
    <col min="1" max="1" width="7.875" style="287" customWidth="1"/>
    <col min="2" max="2" width="8.5" style="287" customWidth="1"/>
    <col min="3" max="3" width="6.625" style="287" customWidth="1"/>
    <col min="4" max="4" width="15.75" style="287" customWidth="1"/>
    <col min="5" max="6" width="15.75" style="288" customWidth="1"/>
    <col min="7" max="7" width="18.25" style="288" customWidth="1"/>
    <col min="8" max="8" width="17.375" style="288" customWidth="1"/>
    <col min="9" max="9" width="14.625" style="288" customWidth="1"/>
    <col min="10" max="10" width="8.375" style="288" customWidth="1"/>
    <col min="11" max="11" width="7.5" style="288" customWidth="1"/>
    <col min="12" max="13" width="7.875" style="287" customWidth="1"/>
    <col min="14" max="14" width="9.25" style="287" customWidth="1"/>
    <col min="15" max="15" width="12.375" style="287" customWidth="1"/>
    <col min="16" max="16384" width="9" style="287"/>
  </cols>
  <sheetData>
    <row r="1" spans="1:14" ht="21">
      <c r="A1" s="253" t="s">
        <v>114</v>
      </c>
      <c r="B1" s="676">
        <v>13</v>
      </c>
      <c r="C1" s="677"/>
      <c r="D1" s="254" t="s">
        <v>39</v>
      </c>
      <c r="E1" s="255" t="s">
        <v>111</v>
      </c>
      <c r="F1" s="678"/>
      <c r="G1" s="679"/>
      <c r="H1" s="244" t="s">
        <v>54</v>
      </c>
    </row>
    <row r="2" spans="1:14" ht="24.75" customHeight="1">
      <c r="A2" s="254" t="s">
        <v>0</v>
      </c>
      <c r="B2" s="680" t="s">
        <v>786</v>
      </c>
      <c r="C2" s="680"/>
      <c r="D2" s="680"/>
      <c r="E2" s="680"/>
      <c r="F2" s="680"/>
      <c r="G2" s="680"/>
      <c r="H2" s="244" t="s">
        <v>55</v>
      </c>
    </row>
    <row r="3" spans="1:14" ht="19.5" customHeight="1">
      <c r="A3" s="246" t="s">
        <v>47</v>
      </c>
      <c r="B3" s="288"/>
      <c r="C3" s="288"/>
      <c r="D3" s="288"/>
      <c r="I3" s="244"/>
    </row>
    <row r="4" spans="1:14">
      <c r="A4" s="260" t="s">
        <v>45</v>
      </c>
      <c r="B4" s="628" t="s">
        <v>780</v>
      </c>
      <c r="C4" s="629"/>
      <c r="D4" s="629"/>
      <c r="E4" s="629"/>
      <c r="F4" s="629"/>
      <c r="G4" s="630"/>
      <c r="H4" s="539" t="s">
        <v>980</v>
      </c>
      <c r="I4" s="540"/>
      <c r="J4" s="540"/>
      <c r="K4" s="540"/>
      <c r="L4" s="540"/>
      <c r="M4" s="541"/>
    </row>
    <row r="5" spans="1:14">
      <c r="A5" s="261" t="s">
        <v>38</v>
      </c>
      <c r="B5" s="628" t="s">
        <v>781</v>
      </c>
      <c r="C5" s="629"/>
      <c r="D5" s="629"/>
      <c r="E5" s="629"/>
      <c r="F5" s="629"/>
      <c r="G5" s="630"/>
      <c r="H5" s="470" t="s">
        <v>42</v>
      </c>
      <c r="I5" s="472" t="s">
        <v>82</v>
      </c>
      <c r="J5" s="472">
        <v>10</v>
      </c>
    </row>
    <row r="6" spans="1:14">
      <c r="A6" s="261" t="s">
        <v>7</v>
      </c>
      <c r="B6" s="628" t="s">
        <v>5</v>
      </c>
      <c r="C6" s="629"/>
      <c r="D6" s="630"/>
      <c r="E6" s="470" t="s">
        <v>42</v>
      </c>
      <c r="F6" s="471" t="str">
        <f>$I$5</f>
        <v>遠隔範囲</v>
      </c>
      <c r="G6" s="471">
        <f>IF($J$5 = 0,"", $J$5)</f>
        <v>10</v>
      </c>
      <c r="H6" s="470" t="s">
        <v>65</v>
      </c>
      <c r="I6" s="472" t="s">
        <v>66</v>
      </c>
      <c r="J6" s="475" t="s">
        <v>486</v>
      </c>
    </row>
    <row r="7" spans="1:14">
      <c r="A7" s="262" t="s">
        <v>6</v>
      </c>
      <c r="B7" s="628" t="s">
        <v>287</v>
      </c>
      <c r="C7" s="629"/>
      <c r="D7" s="630"/>
      <c r="E7" s="474" t="s">
        <v>65</v>
      </c>
      <c r="F7" s="272" t="str">
        <f>IF($I$6 = 0,"", $I$6)</f>
        <v>爆発</v>
      </c>
      <c r="G7" s="272" t="str">
        <f>IF($J$6 = 0,"", $J$6)</f>
        <v>2 ( or 3 )</v>
      </c>
      <c r="H7" s="470" t="s">
        <v>84</v>
      </c>
      <c r="I7" s="472" t="s">
        <v>112</v>
      </c>
      <c r="J7" s="244" t="s">
        <v>61</v>
      </c>
      <c r="L7" s="230" t="s">
        <v>343</v>
      </c>
    </row>
    <row r="8" spans="1:14">
      <c r="A8" s="262" t="s">
        <v>8</v>
      </c>
      <c r="B8" s="628" t="s">
        <v>141</v>
      </c>
      <c r="C8" s="629"/>
      <c r="D8" s="629"/>
      <c r="E8" s="629"/>
      <c r="F8" s="629"/>
      <c r="G8" s="630"/>
      <c r="H8" s="470" t="s">
        <v>50</v>
      </c>
      <c r="I8" s="472" t="s">
        <v>139</v>
      </c>
      <c r="J8" s="471">
        <f>IF($I$8 = "筋力",基本!$C$5,IF($I$8 = "耐久力",基本!$C$6,IF($I$8 = "敏捷力",基本!$C$7,IF($I$8 = "知力",基本!$C$8,IF($I$8 = "判断力",基本!$C$9,IF($I$8 = "判断力",基本!$C$10,""))))))</f>
        <v>7</v>
      </c>
      <c r="K8" s="472" t="s">
        <v>19</v>
      </c>
      <c r="L8" s="229">
        <f>$J$8+$L$9+$I$9</f>
        <v>22</v>
      </c>
    </row>
    <row r="9" spans="1:14" ht="14.25" customHeight="1">
      <c r="A9" s="274" t="s">
        <v>9</v>
      </c>
      <c r="B9" s="642" t="s">
        <v>782</v>
      </c>
      <c r="C9" s="643"/>
      <c r="D9" s="643"/>
      <c r="E9" s="643"/>
      <c r="F9" s="643"/>
      <c r="G9" s="644"/>
      <c r="H9" s="470" t="s">
        <v>57</v>
      </c>
      <c r="I9" s="472">
        <v>0</v>
      </c>
      <c r="J9" s="539" t="s">
        <v>52</v>
      </c>
      <c r="K9" s="541"/>
      <c r="L9" s="471">
        <f>IF($I$7=基本!$F$4,基本!$O$7,IF($I$7=基本!$F$13,基本!$O$16,IF($I$7=基本!$F$22,基本!$O$25,IF($I$7=基本!$F$31,基本!$O$34,IF($I$7=基本!$F$40,基本!$O$43,0)))))</f>
        <v>15</v>
      </c>
    </row>
    <row r="10" spans="1:14" ht="14.25" customHeight="1">
      <c r="A10" s="264"/>
      <c r="B10" s="651" t="s">
        <v>783</v>
      </c>
      <c r="C10" s="652"/>
      <c r="D10" s="652"/>
      <c r="E10" s="652"/>
      <c r="F10" s="652"/>
      <c r="G10" s="712"/>
      <c r="H10" s="469" t="s">
        <v>51</v>
      </c>
      <c r="I10" s="472" t="s">
        <v>139</v>
      </c>
      <c r="J10" s="249">
        <f>IF($I$10 = "筋力",基本!$C$5,IF($I$10 = "耐久力",基本!$C$6,IF($I$10 = "敏捷力",基本!$C$7,IF($I$10 = "知力",基本!$C$8,IF($I$10 = "判断力",基本!$C$9,IF($I$10 = "判断力",基本!$C$10,""))))))</f>
        <v>7</v>
      </c>
      <c r="K10" s="513" t="s">
        <v>15</v>
      </c>
      <c r="L10" s="512">
        <f>IF(K10="",0,VLOOKUP(K10,基本!$A$5:'基本'!$C$10,3,FALSE))</f>
        <v>3</v>
      </c>
    </row>
    <row r="11" spans="1:14" ht="14.25" customHeight="1">
      <c r="A11" s="274" t="s">
        <v>60</v>
      </c>
      <c r="B11" s="645" t="s">
        <v>784</v>
      </c>
      <c r="C11" s="646"/>
      <c r="D11" s="646"/>
      <c r="E11" s="646"/>
      <c r="F11" s="646"/>
      <c r="G11" s="647"/>
      <c r="H11" s="470" t="s">
        <v>58</v>
      </c>
      <c r="I11" s="472">
        <v>0</v>
      </c>
      <c r="J11" s="539" t="s">
        <v>53</v>
      </c>
      <c r="K11" s="541"/>
      <c r="L11" s="471">
        <f>IF($I$7=基本!$F$4,基本!$O$9,IF($I$7=基本!$F$13,基本!$O$18,IF($I$7=基本!$F$22,基本!$O$27,IF($I$7=基本!$F$31,基本!$O$36,IF($I$7=基本!$F$40,基本!$O$45,0)))))</f>
        <v>4</v>
      </c>
    </row>
    <row r="12" spans="1:14" ht="13.5" customHeight="1">
      <c r="A12" s="274"/>
      <c r="B12" s="601" t="s">
        <v>785</v>
      </c>
      <c r="C12" s="523"/>
      <c r="D12" s="523"/>
      <c r="E12" s="523"/>
      <c r="F12" s="523"/>
      <c r="G12" s="602"/>
      <c r="J12" s="287"/>
      <c r="K12" s="287"/>
      <c r="L12" s="230" t="s">
        <v>343</v>
      </c>
      <c r="M12" s="506" t="s">
        <v>59</v>
      </c>
    </row>
    <row r="13" spans="1:14" ht="3.75" customHeight="1">
      <c r="A13" s="274"/>
      <c r="B13" s="601"/>
      <c r="C13" s="523"/>
      <c r="D13" s="523"/>
      <c r="E13" s="523"/>
      <c r="F13" s="523"/>
      <c r="G13" s="602"/>
      <c r="H13" s="511" t="s">
        <v>85</v>
      </c>
      <c r="I13" s="513">
        <v>1</v>
      </c>
      <c r="J13" s="511" t="s">
        <v>43</v>
      </c>
      <c r="K13" s="513">
        <v>8</v>
      </c>
      <c r="L13" s="229">
        <f>J10+IF(I13=0,0,L11)+I11</f>
        <v>11</v>
      </c>
      <c r="M13" s="513"/>
      <c r="N13" s="256"/>
    </row>
    <row r="14" spans="1:14" ht="3.75" customHeight="1">
      <c r="A14" s="266"/>
      <c r="B14" s="698"/>
      <c r="C14" s="699"/>
      <c r="D14" s="699"/>
      <c r="E14" s="699"/>
      <c r="F14" s="699"/>
      <c r="G14" s="700"/>
      <c r="H14" s="511" t="s">
        <v>49</v>
      </c>
      <c r="I14" s="245">
        <f>IF($I$7=基本!$F$4,基本!$L$11,IF($I$7=基本!$F$13,基本!$L$20,IF($I$7=基本!$F$22,基本!$L$29,IF($I$7=基本!$F$31,基本!$L$38,IF($I$7=基本!$F$40,基本!$L$47,0)))))</f>
        <v>5</v>
      </c>
      <c r="J14" s="511" t="s">
        <v>43</v>
      </c>
      <c r="K14" s="245">
        <f>IF($I$7=基本!$F$4,基本!$N$11,IF($I$7=基本!$F$13,基本!$N$20,IF($I$7=基本!$F$22,基本!$N$29,IF($I$7=基本!$F$31,基本!$N$38,IF($I$7=基本!$F$40,基本!$N$47,0)))))</f>
        <v>12</v>
      </c>
      <c r="L14" s="229">
        <f>L13+(I13*K13)</f>
        <v>19</v>
      </c>
      <c r="M14" s="513"/>
      <c r="N14" s="256"/>
    </row>
    <row r="15" spans="1:14" ht="20.25" customHeight="1">
      <c r="A15" s="274"/>
      <c r="B15" s="722" t="s">
        <v>794</v>
      </c>
      <c r="C15" s="723"/>
      <c r="D15" s="723"/>
      <c r="E15" s="723"/>
      <c r="F15" s="723"/>
      <c r="G15" s="724"/>
      <c r="H15" s="511" t="s">
        <v>982</v>
      </c>
      <c r="I15" s="245">
        <f>I14+2</f>
        <v>7</v>
      </c>
      <c r="J15" s="511" t="s">
        <v>43</v>
      </c>
      <c r="K15" s="245">
        <f>IF($I$7=基本!$F$4,基本!$N$11,IF($I$7=基本!$F$13,基本!$N$20,IF($I$7=基本!$F$22,基本!$N$29,IF($I$7=基本!$F$31,基本!$N$38,IF($I$7=基本!$F$40,基本!$N$47,0)))))</f>
        <v>12</v>
      </c>
      <c r="L15" s="229">
        <f>L14</f>
        <v>19</v>
      </c>
      <c r="M15" s="515">
        <f>L15+(I15*K15)</f>
        <v>103</v>
      </c>
    </row>
    <row r="16" spans="1:14" ht="8.25" customHeight="1">
      <c r="A16" s="264"/>
      <c r="B16" s="603"/>
      <c r="C16" s="604"/>
      <c r="D16" s="604"/>
      <c r="E16" s="604"/>
      <c r="F16" s="604"/>
      <c r="G16" s="605"/>
      <c r="H16" s="287"/>
      <c r="I16" s="287"/>
      <c r="J16" s="287"/>
      <c r="K16" s="287"/>
    </row>
    <row r="17" spans="1:11" ht="14.25" thickBot="1">
      <c r="A17" s="265" t="s">
        <v>46</v>
      </c>
      <c r="E17" s="241"/>
      <c r="H17" s="287"/>
      <c r="I17" s="287"/>
      <c r="J17" s="287"/>
      <c r="K17" s="287"/>
    </row>
    <row r="18" spans="1:11" ht="15" customHeight="1">
      <c r="A18" s="701" t="str">
        <f>$B$2</f>
        <v>アースン・リヴァーサル</v>
      </c>
      <c r="B18" s="702"/>
      <c r="C18" s="703"/>
      <c r="D18" s="662" t="s">
        <v>2</v>
      </c>
      <c r="E18" s="663"/>
      <c r="F18" s="664" t="s">
        <v>479</v>
      </c>
      <c r="G18" s="665"/>
      <c r="H18" s="287"/>
      <c r="I18" s="287"/>
      <c r="J18" s="287"/>
      <c r="K18" s="287"/>
    </row>
    <row r="19" spans="1:11" ht="18.75" customHeight="1" thickBot="1">
      <c r="A19" s="704"/>
      <c r="B19" s="705"/>
      <c r="C19" s="706"/>
      <c r="D19" s="312" t="s">
        <v>2</v>
      </c>
      <c r="E19" s="313" t="s">
        <v>1</v>
      </c>
      <c r="F19" s="312" t="s">
        <v>2</v>
      </c>
      <c r="G19" s="314" t="s">
        <v>1</v>
      </c>
      <c r="H19" s="287"/>
      <c r="I19" s="287"/>
      <c r="J19" s="287"/>
      <c r="K19" s="287"/>
    </row>
    <row r="20" spans="1:11" ht="24" customHeight="1">
      <c r="A20" s="611" t="s">
        <v>41</v>
      </c>
      <c r="B20" s="315" t="s">
        <v>113</v>
      </c>
      <c r="C20" s="666" t="str">
        <f>$K$8</f>
        <v>頑健</v>
      </c>
      <c r="D20" s="316" t="str">
        <f>$L$8 &amp; "+1d20"</f>
        <v>22+1d20</v>
      </c>
      <c r="E20" s="317" t="str">
        <f>$L$8+2 &amp; "+1d20"</f>
        <v>24+1d20</v>
      </c>
      <c r="F20" s="316" t="str">
        <f>$L$8 &amp; "+1d20"</f>
        <v>22+1d20</v>
      </c>
      <c r="G20" s="318" t="str">
        <f>$L$8+2 &amp; "+1d20"</f>
        <v>24+1d20</v>
      </c>
      <c r="H20" s="287"/>
      <c r="I20" s="287"/>
      <c r="J20" s="287"/>
      <c r="K20" s="287"/>
    </row>
    <row r="21" spans="1:11" ht="24" customHeight="1">
      <c r="A21" s="612"/>
      <c r="B21" s="332" t="s">
        <v>483</v>
      </c>
      <c r="C21" s="667"/>
      <c r="D21" s="325" t="str">
        <f>2+$L$8 &amp; "+1d20"</f>
        <v>24+1d20</v>
      </c>
      <c r="E21" s="326" t="str">
        <f>2+$L$8+2 &amp; "+1d20"</f>
        <v>26+1d20</v>
      </c>
      <c r="F21" s="325" t="str">
        <f>2+$L$8 &amp; "+1d20"</f>
        <v>24+1d20</v>
      </c>
      <c r="G21" s="327" t="str">
        <f>2+$L$8+2 &amp; "+1d20"</f>
        <v>26+1d20</v>
      </c>
      <c r="H21" s="287"/>
      <c r="I21" s="287"/>
      <c r="J21" s="287"/>
      <c r="K21" s="287"/>
    </row>
    <row r="22" spans="1:11" ht="24" customHeight="1">
      <c r="A22" s="612"/>
      <c r="B22" s="328" t="s">
        <v>476</v>
      </c>
      <c r="C22" s="667"/>
      <c r="D22" s="329" t="str">
        <f>3+$L$8 &amp; "+1d20"</f>
        <v>25+1d20</v>
      </c>
      <c r="E22" s="330" t="str">
        <f>3+$L$8+2 &amp; "+1d20"</f>
        <v>27+1d20</v>
      </c>
      <c r="F22" s="329" t="str">
        <f>3+$L$8 &amp; "+1d20"</f>
        <v>25+1d20</v>
      </c>
      <c r="G22" s="331" t="str">
        <f>3+$L$8+2 &amp; "+1d20"</f>
        <v>27+1d20</v>
      </c>
      <c r="H22" s="287"/>
      <c r="I22" s="287"/>
      <c r="J22" s="287"/>
      <c r="K22" s="287"/>
    </row>
    <row r="23" spans="1:11" ht="24" customHeight="1" thickBot="1">
      <c r="A23" s="613"/>
      <c r="B23" s="324" t="s">
        <v>482</v>
      </c>
      <c r="C23" s="668"/>
      <c r="D23" s="319" t="str">
        <f>2+3+$L$8 &amp; "+1d20"</f>
        <v>27+1d20</v>
      </c>
      <c r="E23" s="320" t="str">
        <f>2+3+$L$8+2 &amp; "+1d20"</f>
        <v>29+1d20</v>
      </c>
      <c r="F23" s="319" t="str">
        <f>2+3+$L$8 &amp; "+1d20"</f>
        <v>27+1d20</v>
      </c>
      <c r="G23" s="321" t="str">
        <f>2+3+$L$8+2 &amp; "+1d20"</f>
        <v>29+1d20</v>
      </c>
      <c r="H23" s="287"/>
      <c r="I23" s="287"/>
      <c r="J23" s="287"/>
      <c r="K23" s="287"/>
    </row>
    <row r="24" spans="1:11" ht="18" customHeight="1">
      <c r="A24" s="631" t="s">
        <v>113</v>
      </c>
      <c r="B24" s="257" t="s">
        <v>4</v>
      </c>
      <c r="C24" s="233" t="str">
        <f>IF($M$13 = 0,"", $M$13)</f>
        <v/>
      </c>
      <c r="D24" s="234" t="str">
        <f>$L$13 &amp; "+" &amp; $I$13 &amp; "d" &amp; $K$13</f>
        <v>11+1d8</v>
      </c>
      <c r="E24" s="234" t="str">
        <f>$L$13 &amp; "+" &amp; $I$13 &amp; "d" &amp; $K$13</f>
        <v>11+1d8</v>
      </c>
      <c r="F24" s="234" t="str">
        <f>$L$13+3 &amp; "+" &amp; $I$13 &amp; "d" &amp; $K$13</f>
        <v>14+1d8</v>
      </c>
      <c r="G24" s="235" t="str">
        <f>$L$13+3 &amp; "+" &amp; $I$13 &amp; "d" &amp; $K$13</f>
        <v>14+1d8</v>
      </c>
      <c r="H24" s="287"/>
      <c r="I24" s="287"/>
      <c r="J24" s="287"/>
      <c r="K24" s="287"/>
    </row>
    <row r="25" spans="1:11" ht="18" customHeight="1">
      <c r="A25" s="632"/>
      <c r="B25" s="359" t="s">
        <v>3</v>
      </c>
      <c r="C25" s="360" t="str">
        <f>IF($M$14 = 0,"", $M$14)</f>
        <v/>
      </c>
      <c r="D25" s="361" t="str">
        <f>$L$14 &amp; "+2d6" &amp; IF($I$14 = 0,"","+" &amp; $I$14 &amp; "d" &amp; $K$14)</f>
        <v>19+2d6+5d12</v>
      </c>
      <c r="E25" s="361" t="str">
        <f>$L$14 &amp; "+2d6" &amp; IF($I$14 = 0,"","+" &amp; $I$14 &amp; "d" &amp; $K$14)</f>
        <v>19+2d6+5d12</v>
      </c>
      <c r="F25" s="361" t="str">
        <f>$L$14+3 &amp; "+2d6" &amp; IF($I$14 = 0,"","+" &amp; $I$14 &amp; "d" &amp; $K$14)</f>
        <v>22+2d6+5d12</v>
      </c>
      <c r="G25" s="363" t="str">
        <f>$L$14+3 &amp; "+2d6" &amp; IF($I$14 = 0,"","+" &amp; $I$14 &amp; "d" &amp; $K$14)</f>
        <v>22+2d6+5d12</v>
      </c>
      <c r="H25" s="287"/>
      <c r="I25" s="287"/>
      <c r="J25" s="287"/>
      <c r="K25" s="287"/>
    </row>
    <row r="26" spans="1:11" ht="18" customHeight="1">
      <c r="A26" s="632"/>
      <c r="B26" s="359" t="s">
        <v>982</v>
      </c>
      <c r="C26" s="360" t="str">
        <f>IF($M$14 = 0,"", $M$14)</f>
        <v/>
      </c>
      <c r="D26" s="361" t="str">
        <f>$L$15 &amp; "+2d6" &amp; IF($I$15 = 0,"","+" &amp; $I$15 &amp; "d" &amp; $K$15)</f>
        <v>19+2d6+7d12</v>
      </c>
      <c r="E26" s="361" t="str">
        <f>$L$15 &amp; "+2d6" &amp; IF($I$15 = 0,"","+" &amp; $I$15 &amp; "d" &amp; $K$15)</f>
        <v>19+2d6+7d12</v>
      </c>
      <c r="F26" s="361" t="str">
        <f>$L$15+3 &amp; "+2d6" &amp; IF($I$15 = 0,"","+" &amp; $I$15 &amp; "d" &amp; $K$15)</f>
        <v>22+2d6+7d12</v>
      </c>
      <c r="G26" s="363" t="str">
        <f>$L$15+3 &amp; "+2d6" &amp; IF($I$15 = 0,"","+" &amp; $I$15 &amp; "d" &amp; $K$15)</f>
        <v>22+2d6+7d12</v>
      </c>
      <c r="H26" s="287"/>
      <c r="I26" s="287"/>
      <c r="J26" s="287"/>
      <c r="K26" s="287"/>
    </row>
    <row r="27" spans="1:11" ht="18" customHeight="1" thickBot="1">
      <c r="A27" s="633"/>
      <c r="B27" s="514" t="s">
        <v>981</v>
      </c>
      <c r="C27" s="507" t="str">
        <f>IF($M$14 = 0,"", $M$14)</f>
        <v/>
      </c>
      <c r="D27" s="508">
        <f>$M$15+12</f>
        <v>115</v>
      </c>
      <c r="E27" s="508">
        <f>$M$15+12</f>
        <v>115</v>
      </c>
      <c r="F27" s="508">
        <f>$M$15+3+12</f>
        <v>118</v>
      </c>
      <c r="G27" s="509">
        <f>$M$15+3+12</f>
        <v>118</v>
      </c>
      <c r="H27" s="287"/>
      <c r="I27" s="287"/>
      <c r="J27" s="287"/>
      <c r="K27" s="287"/>
    </row>
    <row r="28" spans="1:11" ht="8.25" customHeight="1">
      <c r="A28" s="523"/>
      <c r="B28" s="523"/>
      <c r="C28" s="523"/>
      <c r="D28" s="523"/>
      <c r="E28" s="523"/>
      <c r="F28" s="523"/>
      <c r="G28" s="523"/>
    </row>
    <row r="29" spans="1:11" ht="14.25">
      <c r="A29" s="517" t="s">
        <v>493</v>
      </c>
      <c r="B29" s="517"/>
      <c r="C29" s="517"/>
      <c r="D29" s="517"/>
      <c r="E29" s="517"/>
      <c r="F29" s="517"/>
      <c r="G29" s="517"/>
    </row>
    <row r="30" spans="1:11" ht="14.25">
      <c r="A30" s="517" t="s">
        <v>815</v>
      </c>
      <c r="B30" s="517"/>
      <c r="C30" s="517"/>
      <c r="D30" s="517"/>
      <c r="E30" s="517"/>
      <c r="F30" s="517"/>
      <c r="G30" s="517"/>
      <c r="I30" s="287"/>
      <c r="J30" s="287"/>
      <c r="K30" s="287"/>
    </row>
    <row r="31" spans="1:11" ht="14.25">
      <c r="A31" s="517" t="s">
        <v>809</v>
      </c>
      <c r="B31" s="517"/>
      <c r="C31" s="517"/>
      <c r="D31" s="517"/>
      <c r="E31" s="517"/>
      <c r="F31" s="517"/>
      <c r="G31" s="517"/>
      <c r="I31" s="287"/>
      <c r="J31" s="287"/>
      <c r="K31" s="287"/>
    </row>
    <row r="32" spans="1:11" ht="14.25">
      <c r="A32" s="517" t="s">
        <v>149</v>
      </c>
      <c r="B32" s="517"/>
      <c r="C32" s="517"/>
      <c r="D32" s="517"/>
      <c r="E32" s="517"/>
      <c r="F32" s="517"/>
      <c r="G32" s="517"/>
      <c r="I32" s="287"/>
      <c r="J32" s="287"/>
      <c r="K32" s="287"/>
    </row>
    <row r="33" spans="1:13" ht="14.25">
      <c r="A33" s="517" t="s">
        <v>147</v>
      </c>
      <c r="B33" s="517"/>
      <c r="C33" s="517"/>
      <c r="D33" s="517"/>
      <c r="E33" s="517"/>
      <c r="F33" s="517"/>
      <c r="G33" s="517"/>
      <c r="I33" s="287"/>
      <c r="J33" s="287"/>
      <c r="K33" s="287"/>
    </row>
    <row r="34" spans="1:13" ht="14.25">
      <c r="A34" s="517" t="s">
        <v>437</v>
      </c>
      <c r="B34" s="517"/>
      <c r="C34" s="517"/>
      <c r="D34" s="517"/>
      <c r="E34" s="517"/>
      <c r="F34" s="517"/>
      <c r="G34" s="517"/>
      <c r="I34" s="287"/>
      <c r="J34" s="287"/>
      <c r="K34" s="287"/>
    </row>
    <row r="35" spans="1:13" ht="13.5" customHeight="1">
      <c r="A35" s="529" t="s">
        <v>506</v>
      </c>
      <c r="B35" s="529"/>
      <c r="C35" s="529"/>
      <c r="D35" s="529"/>
      <c r="E35" s="529"/>
      <c r="F35" s="529"/>
      <c r="G35" s="529"/>
    </row>
    <row r="36" spans="1:13" ht="13.5" customHeight="1">
      <c r="A36" s="525" t="s">
        <v>507</v>
      </c>
      <c r="B36" s="525"/>
      <c r="C36" s="525"/>
      <c r="D36" s="525"/>
      <c r="E36" s="525"/>
      <c r="F36" s="525"/>
      <c r="G36" s="525"/>
    </row>
    <row r="37" spans="1:13" ht="14.25">
      <c r="A37" s="517" t="s">
        <v>973</v>
      </c>
      <c r="B37" s="517"/>
      <c r="C37" s="517"/>
      <c r="D37" s="517"/>
      <c r="E37" s="517"/>
      <c r="F37" s="517"/>
      <c r="G37" s="517"/>
      <c r="I37" s="287"/>
      <c r="J37" s="287"/>
      <c r="K37" s="287"/>
    </row>
    <row r="38" spans="1:13" ht="13.5" customHeight="1">
      <c r="A38" s="529" t="s">
        <v>440</v>
      </c>
      <c r="B38" s="529"/>
      <c r="C38" s="529"/>
      <c r="D38" s="529"/>
      <c r="E38" s="529"/>
      <c r="F38" s="529"/>
      <c r="G38" s="529"/>
    </row>
    <row r="39" spans="1:13" ht="13.5" customHeight="1">
      <c r="A39" s="525" t="s">
        <v>441</v>
      </c>
      <c r="B39" s="525"/>
      <c r="C39" s="525"/>
      <c r="D39" s="525"/>
      <c r="E39" s="525"/>
      <c r="F39" s="525"/>
      <c r="G39" s="525"/>
    </row>
    <row r="40" spans="1:13" ht="13.5" customHeight="1">
      <c r="A40" s="525" t="s">
        <v>442</v>
      </c>
      <c r="B40" s="525"/>
      <c r="C40" s="525"/>
      <c r="D40" s="525"/>
      <c r="E40" s="525"/>
      <c r="F40" s="525"/>
      <c r="G40" s="525"/>
    </row>
    <row r="41" spans="1:13" ht="8.25" customHeight="1">
      <c r="A41" s="604"/>
      <c r="B41" s="604"/>
      <c r="C41" s="604"/>
      <c r="D41" s="604"/>
      <c r="E41" s="604"/>
      <c r="F41" s="604"/>
      <c r="G41" s="604"/>
    </row>
    <row r="42" spans="1:13">
      <c r="A42" s="619" t="s">
        <v>48</v>
      </c>
      <c r="B42" s="620"/>
      <c r="C42" s="620"/>
      <c r="D42" s="620"/>
      <c r="E42" s="620"/>
      <c r="F42" s="620"/>
      <c r="G42" s="621"/>
    </row>
    <row r="43" spans="1:13" s="288" customFormat="1" ht="6.75" customHeight="1">
      <c r="A43" s="645"/>
      <c r="B43" s="646"/>
      <c r="C43" s="646"/>
      <c r="D43" s="646"/>
      <c r="E43" s="646"/>
      <c r="F43" s="646"/>
      <c r="G43" s="647"/>
      <c r="L43" s="287"/>
      <c r="M43" s="287"/>
    </row>
    <row r="44" spans="1:13" s="288" customFormat="1" ht="13.5" customHeight="1">
      <c r="A44" s="645" t="s">
        <v>787</v>
      </c>
      <c r="B44" s="646"/>
      <c r="C44" s="646"/>
      <c r="D44" s="646"/>
      <c r="E44" s="646"/>
      <c r="F44" s="646"/>
      <c r="G44" s="647"/>
      <c r="L44" s="287"/>
    </row>
    <row r="45" spans="1:13" s="288" customFormat="1" ht="13.5" customHeight="1">
      <c r="A45" s="614" t="s">
        <v>792</v>
      </c>
      <c r="B45" s="520"/>
      <c r="C45" s="520"/>
      <c r="D45" s="520"/>
      <c r="E45" s="520"/>
      <c r="F45" s="520"/>
      <c r="G45" s="615"/>
      <c r="L45" s="287"/>
      <c r="M45" s="287"/>
    </row>
    <row r="46" spans="1:13" s="288" customFormat="1" ht="13.5" customHeight="1">
      <c r="A46" s="614" t="s">
        <v>793</v>
      </c>
      <c r="B46" s="520"/>
      <c r="C46" s="520"/>
      <c r="D46" s="520"/>
      <c r="E46" s="520"/>
      <c r="F46" s="520"/>
      <c r="G46" s="615"/>
      <c r="L46" s="287"/>
      <c r="M46" s="287"/>
    </row>
    <row r="47" spans="1:13" s="288" customFormat="1" ht="13.5" customHeight="1">
      <c r="A47" s="614" t="s">
        <v>795</v>
      </c>
      <c r="B47" s="520"/>
      <c r="C47" s="520"/>
      <c r="D47" s="520"/>
      <c r="E47" s="520"/>
      <c r="F47" s="520"/>
      <c r="G47" s="615"/>
      <c r="L47" s="287"/>
      <c r="M47" s="287"/>
    </row>
    <row r="48" spans="1:13" s="288" customFormat="1" ht="13.5" customHeight="1">
      <c r="A48" s="614" t="s">
        <v>800</v>
      </c>
      <c r="B48" s="520"/>
      <c r="C48" s="520"/>
      <c r="D48" s="520"/>
      <c r="E48" s="520"/>
      <c r="F48" s="520"/>
      <c r="G48" s="615"/>
      <c r="L48" s="287"/>
    </row>
    <row r="49" spans="1:13" s="288" customFormat="1" ht="13.5" customHeight="1">
      <c r="A49" s="614" t="s">
        <v>796</v>
      </c>
      <c r="B49" s="520"/>
      <c r="C49" s="520"/>
      <c r="D49" s="520"/>
      <c r="E49" s="520"/>
      <c r="F49" s="520"/>
      <c r="G49" s="615"/>
      <c r="L49" s="287"/>
      <c r="M49" s="287"/>
    </row>
    <row r="50" spans="1:13" s="288" customFormat="1" ht="13.5" customHeight="1">
      <c r="A50" s="614" t="s">
        <v>798</v>
      </c>
      <c r="B50" s="520"/>
      <c r="C50" s="520"/>
      <c r="D50" s="520"/>
      <c r="E50" s="520"/>
      <c r="F50" s="520"/>
      <c r="G50" s="615"/>
      <c r="L50" s="287"/>
      <c r="M50" s="287"/>
    </row>
    <row r="51" spans="1:13" s="288" customFormat="1" ht="13.5" customHeight="1">
      <c r="A51" s="614" t="s">
        <v>797</v>
      </c>
      <c r="B51" s="520"/>
      <c r="C51" s="520"/>
      <c r="D51" s="520"/>
      <c r="E51" s="520"/>
      <c r="F51" s="520"/>
      <c r="G51" s="615"/>
      <c r="L51" s="287"/>
      <c r="M51" s="287"/>
    </row>
    <row r="52" spans="1:13" s="288" customFormat="1" ht="13.5" customHeight="1">
      <c r="A52" s="614" t="s">
        <v>802</v>
      </c>
      <c r="B52" s="520"/>
      <c r="C52" s="520"/>
      <c r="D52" s="520"/>
      <c r="E52" s="520"/>
      <c r="F52" s="520"/>
      <c r="G52" s="615"/>
      <c r="L52" s="287"/>
      <c r="M52" s="287"/>
    </row>
    <row r="53" spans="1:13" s="288" customFormat="1" ht="13.5" customHeight="1">
      <c r="A53" s="614" t="s">
        <v>799</v>
      </c>
      <c r="B53" s="520"/>
      <c r="C53" s="520"/>
      <c r="D53" s="520"/>
      <c r="E53" s="520"/>
      <c r="F53" s="520"/>
      <c r="G53" s="615"/>
      <c r="L53" s="287"/>
      <c r="M53" s="287"/>
    </row>
    <row r="54" spans="1:13" s="288" customFormat="1" ht="13.5" customHeight="1">
      <c r="A54" s="614" t="s">
        <v>801</v>
      </c>
      <c r="B54" s="520"/>
      <c r="C54" s="520"/>
      <c r="D54" s="520"/>
      <c r="E54" s="520"/>
      <c r="F54" s="520"/>
      <c r="G54" s="615"/>
      <c r="L54" s="287"/>
      <c r="M54" s="287"/>
    </row>
    <row r="55" spans="1:13" s="288" customFormat="1" ht="6.75" customHeight="1">
      <c r="A55" s="614"/>
      <c r="B55" s="520"/>
      <c r="C55" s="520"/>
      <c r="D55" s="520"/>
      <c r="E55" s="520"/>
      <c r="F55" s="520"/>
      <c r="G55" s="615"/>
      <c r="L55" s="287"/>
      <c r="M55" s="287"/>
    </row>
    <row r="56" spans="1:13" s="288" customFormat="1" ht="21">
      <c r="A56" s="250" t="s">
        <v>114</v>
      </c>
      <c r="B56" s="473">
        <f>$B$1</f>
        <v>13</v>
      </c>
      <c r="C56" s="251" t="s">
        <v>39</v>
      </c>
      <c r="D56" s="252" t="str">
        <f>$E$1</f>
        <v>遭遇毎</v>
      </c>
      <c r="E56" s="691" t="str">
        <f>$B$2</f>
        <v>アースン・リヴァーサル</v>
      </c>
      <c r="F56" s="692"/>
      <c r="G56" s="693"/>
      <c r="L56" s="287"/>
      <c r="M56" s="287"/>
    </row>
  </sheetData>
  <mergeCells count="54">
    <mergeCell ref="B13:G13"/>
    <mergeCell ref="B14:G14"/>
    <mergeCell ref="B16:G16"/>
    <mergeCell ref="B15:G15"/>
    <mergeCell ref="A18:C19"/>
    <mergeCell ref="D18:E18"/>
    <mergeCell ref="F18:G18"/>
    <mergeCell ref="J9:K9"/>
    <mergeCell ref="B10:G10"/>
    <mergeCell ref="B11:G11"/>
    <mergeCell ref="J11:K11"/>
    <mergeCell ref="B12:G12"/>
    <mergeCell ref="B1:C1"/>
    <mergeCell ref="F1:G1"/>
    <mergeCell ref="B2:G2"/>
    <mergeCell ref="B4:G4"/>
    <mergeCell ref="H4:M4"/>
    <mergeCell ref="B5:G5"/>
    <mergeCell ref="B6:D6"/>
    <mergeCell ref="B7:D7"/>
    <mergeCell ref="B8:G8"/>
    <mergeCell ref="B9:G9"/>
    <mergeCell ref="A20:A23"/>
    <mergeCell ref="C20:C23"/>
    <mergeCell ref="A37:G37"/>
    <mergeCell ref="A28:G28"/>
    <mergeCell ref="A29:G29"/>
    <mergeCell ref="A32:G32"/>
    <mergeCell ref="A33:G33"/>
    <mergeCell ref="A34:G34"/>
    <mergeCell ref="A35:G35"/>
    <mergeCell ref="A36:G36"/>
    <mergeCell ref="A30:G30"/>
    <mergeCell ref="A31:G31"/>
    <mergeCell ref="A24:A27"/>
    <mergeCell ref="A38:G38"/>
    <mergeCell ref="A39:G39"/>
    <mergeCell ref="A40:G40"/>
    <mergeCell ref="A41:G41"/>
    <mergeCell ref="A42:G42"/>
    <mergeCell ref="A50:G50"/>
    <mergeCell ref="A43:G43"/>
    <mergeCell ref="A44:G44"/>
    <mergeCell ref="E56:G56"/>
    <mergeCell ref="A55:G55"/>
    <mergeCell ref="A46:G46"/>
    <mergeCell ref="A45:G45"/>
    <mergeCell ref="A51:G51"/>
    <mergeCell ref="A52:G52"/>
    <mergeCell ref="A53:G53"/>
    <mergeCell ref="A54:G54"/>
    <mergeCell ref="A47:G47"/>
    <mergeCell ref="A48:G48"/>
    <mergeCell ref="A49:G49"/>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K8</xm:sqref>
        </x14:dataValidation>
        <x14:dataValidation type="list" allowBlank="1" showInputMessage="1" showErrorMessage="1">
          <x14:formula1>
            <xm:f>基本!$D$27:$D$31</xm:f>
          </x14:formula1>
          <xm:sqref>I7</xm:sqref>
        </x14:dataValidation>
        <x14:dataValidation type="list" allowBlank="1" showInputMessage="1" showErrorMessage="1">
          <x14:formula1>
            <xm:f>基本!$A$5:$A$10</xm:f>
          </x14:formula1>
          <xm:sqref>I8 I10 K15</xm:sqref>
        </x14:dataValidation>
        <x14:dataValidation type="list" allowBlank="1" showInputMessage="1" showErrorMessage="1">
          <x14:formula1>
            <xm:f>基本!$B$27:$B$31</xm:f>
          </x14:formula1>
          <xm:sqref>I6</xm:sqref>
        </x14:dataValidation>
        <x14:dataValidation type="list" allowBlank="1" showInputMessage="1" showErrorMessage="1">
          <x14:formula1>
            <xm:f>基本!$A$27:$A$33</xm:f>
          </x14:formula1>
          <xm:sqref>I5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N61"/>
  <sheetViews>
    <sheetView zoomScaleNormal="100" workbookViewId="0">
      <selection activeCell="B2" sqref="B2:G2"/>
    </sheetView>
  </sheetViews>
  <sheetFormatPr defaultRowHeight="13.5"/>
  <cols>
    <col min="1" max="1" width="7.875" style="133" customWidth="1"/>
    <col min="2" max="2" width="8.5" style="133" customWidth="1"/>
    <col min="3" max="3" width="6.625" style="133" customWidth="1"/>
    <col min="4" max="4" width="15.75" style="133" customWidth="1"/>
    <col min="5" max="6" width="15.75" style="88" customWidth="1"/>
    <col min="7" max="7" width="18.25" style="88" customWidth="1"/>
    <col min="8" max="8" width="17.375" style="88" customWidth="1"/>
    <col min="9" max="9" width="14.625" style="88" customWidth="1"/>
    <col min="10" max="10" width="8.375" style="88" customWidth="1"/>
    <col min="11" max="11" width="7.5" style="88" customWidth="1"/>
    <col min="12" max="13" width="7.875" style="133" customWidth="1"/>
    <col min="14" max="14" width="9.25" style="133" customWidth="1"/>
    <col min="15" max="15" width="12.375" style="133" customWidth="1"/>
    <col min="16" max="16384" width="9" style="133"/>
  </cols>
  <sheetData>
    <row r="1" spans="1:14" ht="21">
      <c r="A1" s="39" t="s">
        <v>114</v>
      </c>
      <c r="B1" s="676">
        <v>17</v>
      </c>
      <c r="C1" s="677"/>
      <c r="D1" s="40" t="s">
        <v>39</v>
      </c>
      <c r="E1" s="41" t="s">
        <v>111</v>
      </c>
      <c r="F1" s="678"/>
      <c r="G1" s="679"/>
      <c r="H1" s="93" t="s">
        <v>54</v>
      </c>
    </row>
    <row r="2" spans="1:14" ht="24.75" customHeight="1">
      <c r="A2" s="40" t="s">
        <v>0</v>
      </c>
      <c r="B2" s="680" t="s">
        <v>975</v>
      </c>
      <c r="C2" s="680"/>
      <c r="D2" s="680"/>
      <c r="E2" s="680"/>
      <c r="F2" s="680"/>
      <c r="G2" s="680"/>
      <c r="H2" s="93" t="s">
        <v>55</v>
      </c>
    </row>
    <row r="3" spans="1:14" ht="19.5" customHeight="1">
      <c r="A3" s="99" t="s">
        <v>47</v>
      </c>
      <c r="B3" s="88"/>
      <c r="C3" s="88"/>
      <c r="D3" s="88"/>
      <c r="I3" s="93"/>
    </row>
    <row r="4" spans="1:14">
      <c r="A4" s="72" t="s">
        <v>45</v>
      </c>
      <c r="B4" s="628" t="s">
        <v>976</v>
      </c>
      <c r="C4" s="629"/>
      <c r="D4" s="629"/>
      <c r="E4" s="629"/>
      <c r="F4" s="629"/>
      <c r="G4" s="630"/>
      <c r="H4" s="539" t="s">
        <v>980</v>
      </c>
      <c r="I4" s="540"/>
      <c r="J4" s="540"/>
      <c r="K4" s="540"/>
      <c r="L4" s="540"/>
      <c r="M4" s="541"/>
    </row>
    <row r="5" spans="1:14">
      <c r="A5" s="73" t="s">
        <v>38</v>
      </c>
      <c r="B5" s="628" t="s">
        <v>781</v>
      </c>
      <c r="C5" s="629"/>
      <c r="D5" s="629"/>
      <c r="E5" s="629"/>
      <c r="F5" s="629"/>
      <c r="G5" s="630"/>
      <c r="H5" s="136" t="s">
        <v>42</v>
      </c>
      <c r="I5" s="501" t="s">
        <v>69</v>
      </c>
      <c r="J5" s="501"/>
    </row>
    <row r="6" spans="1:14">
      <c r="A6" s="73" t="s">
        <v>7</v>
      </c>
      <c r="B6" s="628" t="s">
        <v>5</v>
      </c>
      <c r="C6" s="629"/>
      <c r="D6" s="630"/>
      <c r="E6" s="136" t="s">
        <v>42</v>
      </c>
      <c r="F6" s="500" t="str">
        <f>$I$5</f>
        <v>近接範囲</v>
      </c>
      <c r="G6" s="500" t="str">
        <f>IF($J$5 = 0,"", $J$5)</f>
        <v/>
      </c>
      <c r="H6" s="136" t="s">
        <v>65</v>
      </c>
      <c r="I6" s="501" t="s">
        <v>71</v>
      </c>
      <c r="J6" s="501" t="s">
        <v>484</v>
      </c>
    </row>
    <row r="7" spans="1:14">
      <c r="A7" s="74" t="s">
        <v>6</v>
      </c>
      <c r="B7" s="628" t="s">
        <v>820</v>
      </c>
      <c r="C7" s="629"/>
      <c r="D7" s="630"/>
      <c r="E7" s="136" t="s">
        <v>65</v>
      </c>
      <c r="F7" s="272" t="str">
        <f>IF($I$6 = 0,"", $I$6)</f>
        <v>噴射</v>
      </c>
      <c r="G7" s="272" t="str">
        <f>IF($J$6 = 0,"", $J$6)</f>
        <v>5 ( or 6 )</v>
      </c>
      <c r="H7" s="136" t="s">
        <v>84</v>
      </c>
      <c r="I7" s="137" t="s">
        <v>112</v>
      </c>
      <c r="J7" s="93" t="s">
        <v>61</v>
      </c>
      <c r="L7" s="230" t="s">
        <v>343</v>
      </c>
    </row>
    <row r="8" spans="1:14">
      <c r="A8" s="74" t="s">
        <v>8</v>
      </c>
      <c r="B8" s="655" t="s">
        <v>141</v>
      </c>
      <c r="C8" s="653"/>
      <c r="D8" s="653"/>
      <c r="E8" s="653"/>
      <c r="F8" s="653"/>
      <c r="G8" s="654"/>
      <c r="H8" s="136" t="s">
        <v>50</v>
      </c>
      <c r="I8" s="137" t="s">
        <v>139</v>
      </c>
      <c r="J8" s="135">
        <f>IF($I$8 = "筋力",基本!$C$5,IF($I$8 = "耐久力",基本!$C$6,IF($I$8 = "敏捷力",基本!$C$7,IF($I$8 = "知力",基本!$C$8,IF($I$8 = "判断力",基本!$C$9,IF($I$8 = "判断力",基本!$C$10,""))))))</f>
        <v>7</v>
      </c>
      <c r="K8" s="137" t="s">
        <v>19</v>
      </c>
      <c r="L8" s="229">
        <f>$J$8+$L$9+$I$9</f>
        <v>22</v>
      </c>
    </row>
    <row r="9" spans="1:14" ht="14.25" customHeight="1">
      <c r="A9" s="76" t="s">
        <v>9</v>
      </c>
      <c r="B9" s="642" t="s">
        <v>977</v>
      </c>
      <c r="C9" s="643"/>
      <c r="D9" s="643"/>
      <c r="E9" s="643"/>
      <c r="F9" s="643"/>
      <c r="G9" s="644"/>
      <c r="H9" s="136" t="s">
        <v>57</v>
      </c>
      <c r="I9" s="137">
        <v>0</v>
      </c>
      <c r="J9" s="539" t="s">
        <v>52</v>
      </c>
      <c r="K9" s="541"/>
      <c r="L9" s="135">
        <f>IF($I$7=基本!$F$4,基本!$O$7,IF($I$7=基本!$F$13,基本!$O$16,IF($I$7=基本!$F$22,基本!$O$25,IF($I$7=基本!$F$31,基本!$O$34,IF($I$7=基本!$F$40,基本!$O$43,0)))))</f>
        <v>15</v>
      </c>
    </row>
    <row r="10" spans="1:14" ht="14.25" customHeight="1">
      <c r="A10" s="76"/>
      <c r="B10" s="645" t="s">
        <v>978</v>
      </c>
      <c r="C10" s="646"/>
      <c r="D10" s="646"/>
      <c r="E10" s="646"/>
      <c r="F10" s="646"/>
      <c r="G10" s="647"/>
      <c r="H10" s="138" t="s">
        <v>51</v>
      </c>
      <c r="I10" s="137" t="s">
        <v>139</v>
      </c>
      <c r="J10" s="97">
        <f>IF($I$10 = "筋力",基本!$C$5,IF($I$10 = "耐久力",基本!$C$6,IF($I$10 = "敏捷力",基本!$C$7,IF($I$10 = "知力",基本!$C$8,IF($I$10 = "判断力",基本!$C$9,IF($I$10 = "判断力",基本!$C$10,""))))))</f>
        <v>7</v>
      </c>
      <c r="K10" s="513" t="s">
        <v>15</v>
      </c>
      <c r="L10" s="512">
        <f>IF(K10="",0,VLOOKUP(K10,基本!$A$5:'基本'!$C$10,3,FALSE))</f>
        <v>3</v>
      </c>
    </row>
    <row r="11" spans="1:14" ht="2.25" customHeight="1">
      <c r="A11" s="76"/>
      <c r="B11" s="645"/>
      <c r="C11" s="646"/>
      <c r="D11" s="646"/>
      <c r="E11" s="646"/>
      <c r="F11" s="646"/>
      <c r="G11" s="647"/>
      <c r="H11" s="136" t="s">
        <v>58</v>
      </c>
      <c r="I11" s="137">
        <v>0</v>
      </c>
      <c r="J11" s="539" t="s">
        <v>53</v>
      </c>
      <c r="K11" s="541"/>
      <c r="L11" s="135">
        <f>IF($I$7=基本!$F$4,基本!$O$9,IF($I$7=基本!$F$13,基本!$O$18,IF($I$7=基本!$F$22,基本!$O$27,IF($I$7=基本!$F$31,基本!$O$36,IF($I$7=基本!$F$40,基本!$O$45,0)))))</f>
        <v>4</v>
      </c>
    </row>
    <row r="12" spans="1:14" ht="2.25" customHeight="1">
      <c r="A12" s="76"/>
      <c r="B12" s="645"/>
      <c r="C12" s="646"/>
      <c r="D12" s="646"/>
      <c r="E12" s="646"/>
      <c r="F12" s="646"/>
      <c r="G12" s="647"/>
      <c r="H12" s="288"/>
      <c r="I12" s="288"/>
      <c r="J12" s="287"/>
      <c r="K12" s="287"/>
      <c r="L12" s="230" t="s">
        <v>343</v>
      </c>
      <c r="M12" s="506" t="s">
        <v>59</v>
      </c>
    </row>
    <row r="13" spans="1:14" ht="2.25" customHeight="1">
      <c r="A13" s="76"/>
      <c r="B13" s="645"/>
      <c r="C13" s="646"/>
      <c r="D13" s="646"/>
      <c r="E13" s="646"/>
      <c r="F13" s="646"/>
      <c r="G13" s="647"/>
      <c r="H13" s="511" t="s">
        <v>85</v>
      </c>
      <c r="I13" s="513">
        <v>2</v>
      </c>
      <c r="J13" s="511" t="s">
        <v>43</v>
      </c>
      <c r="K13" s="513">
        <v>8</v>
      </c>
      <c r="L13" s="229">
        <f>J10+IF(I13=0,0,L11)+I11</f>
        <v>11</v>
      </c>
      <c r="M13" s="513"/>
      <c r="N13" s="100"/>
    </row>
    <row r="14" spans="1:14" ht="2.25" customHeight="1">
      <c r="A14" s="101"/>
      <c r="B14" s="698"/>
      <c r="C14" s="699"/>
      <c r="D14" s="699"/>
      <c r="E14" s="699"/>
      <c r="F14" s="699"/>
      <c r="G14" s="700"/>
      <c r="H14" s="511" t="s">
        <v>49</v>
      </c>
      <c r="I14" s="245">
        <f>IF($I$7=基本!$F$4,基本!$L$11,IF($I$7=基本!$F$13,基本!$L$20,IF($I$7=基本!$F$22,基本!$L$29,IF($I$7=基本!$F$31,基本!$L$38,IF($I$7=基本!$F$40,基本!$L$47,0)))))</f>
        <v>5</v>
      </c>
      <c r="J14" s="511" t="s">
        <v>43</v>
      </c>
      <c r="K14" s="245">
        <f>IF($I$7=基本!$F$4,基本!$N$11,IF($I$7=基本!$F$13,基本!$N$20,IF($I$7=基本!$F$22,基本!$N$29,IF($I$7=基本!$F$31,基本!$N$38,IF($I$7=基本!$F$40,基本!$N$47,0)))))</f>
        <v>12</v>
      </c>
      <c r="L14" s="229">
        <f>L13+(I13*K13)</f>
        <v>27</v>
      </c>
      <c r="M14" s="513"/>
      <c r="N14" s="100"/>
    </row>
    <row r="15" spans="1:14" ht="2.25" customHeight="1">
      <c r="A15" s="76"/>
      <c r="B15" s="645"/>
      <c r="C15" s="646"/>
      <c r="D15" s="646"/>
      <c r="E15" s="646"/>
      <c r="F15" s="646"/>
      <c r="G15" s="647"/>
      <c r="H15" s="511" t="s">
        <v>982</v>
      </c>
      <c r="I15" s="245">
        <f>I14+2</f>
        <v>7</v>
      </c>
      <c r="J15" s="511" t="s">
        <v>43</v>
      </c>
      <c r="K15" s="245">
        <f>IF($I$7=基本!$F$4,基本!$N$11,IF($I$7=基本!$F$13,基本!$N$20,IF($I$7=基本!$F$22,基本!$N$29,IF($I$7=基本!$F$31,基本!$N$38,IF($I$7=基本!$F$40,基本!$N$47,0)))))</f>
        <v>12</v>
      </c>
      <c r="L15" s="229">
        <f>L14</f>
        <v>27</v>
      </c>
      <c r="M15" s="515">
        <f>L15+(I15*K15)</f>
        <v>111</v>
      </c>
    </row>
    <row r="16" spans="1:14" ht="2.25" customHeight="1">
      <c r="A16" s="77"/>
      <c r="B16" s="603"/>
      <c r="C16" s="604"/>
      <c r="D16" s="604"/>
      <c r="E16" s="604"/>
      <c r="F16" s="604"/>
      <c r="G16" s="605"/>
      <c r="H16" s="287"/>
      <c r="I16" s="287"/>
      <c r="J16" s="287"/>
      <c r="K16" s="287"/>
      <c r="L16" s="287"/>
      <c r="M16" s="287"/>
    </row>
    <row r="17" spans="1:13" ht="14.25" thickBot="1">
      <c r="A17" s="125" t="s">
        <v>46</v>
      </c>
      <c r="E17" s="89"/>
      <c r="H17" s="287"/>
      <c r="I17" s="287"/>
      <c r="J17" s="287"/>
      <c r="K17" s="287"/>
      <c r="L17" s="287"/>
      <c r="M17" s="287"/>
    </row>
    <row r="18" spans="1:13" s="287" customFormat="1" ht="15" customHeight="1">
      <c r="A18" s="701" t="str">
        <f>$B$2</f>
        <v>カース・オヴ・ヘイムナスーン</v>
      </c>
      <c r="B18" s="702"/>
      <c r="C18" s="703"/>
      <c r="D18" s="662" t="s">
        <v>2</v>
      </c>
      <c r="E18" s="663"/>
      <c r="F18" s="664" t="s">
        <v>479</v>
      </c>
      <c r="G18" s="665"/>
    </row>
    <row r="19" spans="1:13" s="287" customFormat="1" ht="18.75" customHeight="1" thickBot="1">
      <c r="A19" s="704"/>
      <c r="B19" s="705"/>
      <c r="C19" s="706"/>
      <c r="D19" s="312" t="s">
        <v>2</v>
      </c>
      <c r="E19" s="313" t="s">
        <v>1</v>
      </c>
      <c r="F19" s="312" t="s">
        <v>2</v>
      </c>
      <c r="G19" s="314" t="s">
        <v>1</v>
      </c>
    </row>
    <row r="20" spans="1:13" s="287" customFormat="1" ht="24" customHeight="1">
      <c r="A20" s="611" t="s">
        <v>41</v>
      </c>
      <c r="B20" s="315" t="s">
        <v>113</v>
      </c>
      <c r="C20" s="666" t="str">
        <f>$K$8</f>
        <v>頑健</v>
      </c>
      <c r="D20" s="316" t="str">
        <f>$L$8 &amp; "+1d20"</f>
        <v>22+1d20</v>
      </c>
      <c r="E20" s="317" t="str">
        <f>$L$8+2 &amp; "+1d20"</f>
        <v>24+1d20</v>
      </c>
      <c r="F20" s="316" t="str">
        <f>$L$8 &amp; "+1d20"</f>
        <v>22+1d20</v>
      </c>
      <c r="G20" s="318" t="str">
        <f>$L$8+2 &amp; "+1d20"</f>
        <v>24+1d20</v>
      </c>
    </row>
    <row r="21" spans="1:13" s="287" customFormat="1" ht="24" customHeight="1">
      <c r="A21" s="612"/>
      <c r="B21" s="332" t="s">
        <v>483</v>
      </c>
      <c r="C21" s="667"/>
      <c r="D21" s="325" t="str">
        <f>2+$L$8 &amp; "+1d20"</f>
        <v>24+1d20</v>
      </c>
      <c r="E21" s="326" t="str">
        <f>2+$L$8+2 &amp; "+1d20"</f>
        <v>26+1d20</v>
      </c>
      <c r="F21" s="325" t="str">
        <f>2+$L$8 &amp; "+1d20"</f>
        <v>24+1d20</v>
      </c>
      <c r="G21" s="327" t="str">
        <f>2+$L$8+2 &amp; "+1d20"</f>
        <v>26+1d20</v>
      </c>
    </row>
    <row r="22" spans="1:13" s="287" customFormat="1" ht="24" customHeight="1">
      <c r="A22" s="612"/>
      <c r="B22" s="328" t="s">
        <v>476</v>
      </c>
      <c r="C22" s="667"/>
      <c r="D22" s="329" t="str">
        <f>3+$L$8 &amp; "+1d20"</f>
        <v>25+1d20</v>
      </c>
      <c r="E22" s="330" t="str">
        <f>3+$L$8+2 &amp; "+1d20"</f>
        <v>27+1d20</v>
      </c>
      <c r="F22" s="329" t="str">
        <f>3+$L$8 &amp; "+1d20"</f>
        <v>25+1d20</v>
      </c>
      <c r="G22" s="331" t="str">
        <f>3+$L$8+2 &amp; "+1d20"</f>
        <v>27+1d20</v>
      </c>
    </row>
    <row r="23" spans="1:13" s="287" customFormat="1" ht="24" customHeight="1" thickBot="1">
      <c r="A23" s="613"/>
      <c r="B23" s="324" t="s">
        <v>482</v>
      </c>
      <c r="C23" s="668"/>
      <c r="D23" s="319" t="str">
        <f>2+3+$L$8 &amp; "+1d20"</f>
        <v>27+1d20</v>
      </c>
      <c r="E23" s="320" t="str">
        <f>2+3+$L$8+2 &amp; "+1d20"</f>
        <v>29+1d20</v>
      </c>
      <c r="F23" s="319" t="str">
        <f>2+3+$L$8 &amp; "+1d20"</f>
        <v>27+1d20</v>
      </c>
      <c r="G23" s="321" t="str">
        <f>2+3+$L$8+2 &amp; "+1d20"</f>
        <v>29+1d20</v>
      </c>
    </row>
    <row r="24" spans="1:13" s="287" customFormat="1" ht="18" customHeight="1">
      <c r="A24" s="631" t="s">
        <v>113</v>
      </c>
      <c r="B24" s="257" t="s">
        <v>4</v>
      </c>
      <c r="C24" s="233" t="str">
        <f>IF($M$13 = 0,"", $M$13)</f>
        <v/>
      </c>
      <c r="D24" s="234" t="str">
        <f>$L$13 &amp; "+" &amp; $I$13 &amp; "d" &amp; $K$13</f>
        <v>11+2d8</v>
      </c>
      <c r="E24" s="234" t="str">
        <f>$L$13 &amp; "+" &amp; $I$13 &amp; "d" &amp; $K$13</f>
        <v>11+2d8</v>
      </c>
      <c r="F24" s="234" t="str">
        <f>$L$13+3 &amp; "+" &amp; $I$13 &amp; "d" &amp; $K$13</f>
        <v>14+2d8</v>
      </c>
      <c r="G24" s="235" t="str">
        <f>$L$13+3 &amp; "+" &amp; $I$13 &amp; "d" &amp; $K$13</f>
        <v>14+2d8</v>
      </c>
    </row>
    <row r="25" spans="1:13" s="287" customFormat="1" ht="18" customHeight="1">
      <c r="A25" s="632"/>
      <c r="B25" s="359" t="s">
        <v>3</v>
      </c>
      <c r="C25" s="360" t="str">
        <f>IF($M$14 = 0,"", $M$14)</f>
        <v/>
      </c>
      <c r="D25" s="361" t="str">
        <f>$L$14 &amp; "+2d6" &amp; IF($I$14 = 0,"","+" &amp; $I$14 &amp; "d" &amp; $K$14)</f>
        <v>27+2d6+5d12</v>
      </c>
      <c r="E25" s="361" t="str">
        <f>$L$14 &amp; "+2d6" &amp; IF($I$14 = 0,"","+" &amp; $I$14 &amp; "d" &amp; $K$14)</f>
        <v>27+2d6+5d12</v>
      </c>
      <c r="F25" s="361" t="str">
        <f>$L$14+3 &amp; "+2d6" &amp; IF($I$14 = 0,"","+" &amp; $I$14 &amp; "d" &amp; $K$14)</f>
        <v>30+2d6+5d12</v>
      </c>
      <c r="G25" s="363" t="str">
        <f>$L$14+3 &amp; "+2d6" &amp; IF($I$14 = 0,"","+" &amp; $I$14 &amp; "d" &amp; $K$14)</f>
        <v>30+2d6+5d12</v>
      </c>
    </row>
    <row r="26" spans="1:13" s="287" customFormat="1" ht="18" customHeight="1">
      <c r="A26" s="632"/>
      <c r="B26" s="359" t="s">
        <v>982</v>
      </c>
      <c r="C26" s="360" t="str">
        <f>IF($M$14 = 0,"", $M$14)</f>
        <v/>
      </c>
      <c r="D26" s="361" t="str">
        <f>$L$15 &amp; "+2d6" &amp; IF($I$15 = 0,"","+" &amp; $I$15 &amp; "d" &amp; $K$15)</f>
        <v>27+2d6+7d12</v>
      </c>
      <c r="E26" s="361" t="str">
        <f>$L$15 &amp; "+2d6" &amp; IF($I$15 = 0,"","+" &amp; $I$15 &amp; "d" &amp; $K$15)</f>
        <v>27+2d6+7d12</v>
      </c>
      <c r="F26" s="361" t="str">
        <f>$L$15+3 &amp; "+2d6" &amp; IF($I$15 = 0,"","+" &amp; $I$15 &amp; "d" &amp; $K$15)</f>
        <v>30+2d6+7d12</v>
      </c>
      <c r="G26" s="363" t="str">
        <f>$L$15+3 &amp; "+2d6" &amp; IF($I$15 = 0,"","+" &amp; $I$15 &amp; "d" &amp; $K$15)</f>
        <v>30+2d6+7d12</v>
      </c>
    </row>
    <row r="27" spans="1:13" s="287" customFormat="1" ht="18" customHeight="1" thickBot="1">
      <c r="A27" s="633"/>
      <c r="B27" s="514" t="s">
        <v>981</v>
      </c>
      <c r="C27" s="507" t="str">
        <f>IF($M$14 = 0,"", $M$14)</f>
        <v/>
      </c>
      <c r="D27" s="508">
        <f>$M$15+12</f>
        <v>123</v>
      </c>
      <c r="E27" s="508">
        <f>$M$15+12</f>
        <v>123</v>
      </c>
      <c r="F27" s="508">
        <f>$M$15+3+12</f>
        <v>126</v>
      </c>
      <c r="G27" s="509">
        <f>$M$15+3+12</f>
        <v>126</v>
      </c>
    </row>
    <row r="28" spans="1:13" ht="6.75" customHeight="1">
      <c r="A28" s="523"/>
      <c r="B28" s="523"/>
      <c r="C28" s="523"/>
      <c r="D28" s="523"/>
      <c r="E28" s="523"/>
      <c r="F28" s="523"/>
      <c r="G28" s="523"/>
    </row>
    <row r="29" spans="1:13" ht="14.25">
      <c r="A29" s="517" t="s">
        <v>493</v>
      </c>
      <c r="B29" s="517"/>
      <c r="C29" s="517"/>
      <c r="D29" s="517"/>
      <c r="E29" s="517"/>
      <c r="F29" s="517"/>
      <c r="G29" s="517"/>
    </row>
    <row r="30" spans="1:13" s="287" customFormat="1" ht="14.25">
      <c r="A30" s="517" t="s">
        <v>815</v>
      </c>
      <c r="B30" s="517"/>
      <c r="C30" s="517"/>
      <c r="D30" s="517"/>
      <c r="E30" s="517"/>
      <c r="F30" s="517"/>
      <c r="G30" s="517"/>
      <c r="H30" s="288"/>
    </row>
    <row r="31" spans="1:13" s="287" customFormat="1" ht="14.25">
      <c r="A31" s="517" t="s">
        <v>809</v>
      </c>
      <c r="B31" s="517"/>
      <c r="C31" s="517"/>
      <c r="D31" s="517"/>
      <c r="E31" s="517"/>
      <c r="F31" s="517"/>
      <c r="G31" s="517"/>
      <c r="H31" s="288"/>
    </row>
    <row r="32" spans="1:13" s="287" customFormat="1" ht="14.25">
      <c r="A32" s="517" t="s">
        <v>149</v>
      </c>
      <c r="B32" s="517"/>
      <c r="C32" s="517"/>
      <c r="D32" s="517"/>
      <c r="E32" s="517"/>
      <c r="F32" s="517"/>
      <c r="G32" s="517"/>
      <c r="H32" s="288"/>
    </row>
    <row r="33" spans="1:13" s="287" customFormat="1" ht="14.25">
      <c r="A33" s="517" t="s">
        <v>147</v>
      </c>
      <c r="B33" s="517"/>
      <c r="C33" s="517"/>
      <c r="D33" s="517"/>
      <c r="E33" s="517"/>
      <c r="F33" s="517"/>
      <c r="G33" s="517"/>
      <c r="H33" s="288"/>
    </row>
    <row r="34" spans="1:13" s="287" customFormat="1" ht="14.25">
      <c r="A34" s="517" t="s">
        <v>437</v>
      </c>
      <c r="B34" s="517"/>
      <c r="C34" s="517"/>
      <c r="D34" s="517"/>
      <c r="E34" s="517"/>
      <c r="F34" s="517"/>
      <c r="G34" s="517"/>
      <c r="H34" s="288"/>
    </row>
    <row r="35" spans="1:13" s="287" customFormat="1">
      <c r="A35" s="529" t="s">
        <v>506</v>
      </c>
      <c r="B35" s="529"/>
      <c r="C35" s="529"/>
      <c r="D35" s="529"/>
      <c r="E35" s="529"/>
      <c r="F35" s="529"/>
      <c r="G35" s="529"/>
      <c r="H35" s="288"/>
      <c r="I35" s="288"/>
      <c r="J35" s="288"/>
      <c r="K35" s="288"/>
    </row>
    <row r="36" spans="1:13" s="287" customFormat="1">
      <c r="A36" s="525" t="s">
        <v>507</v>
      </c>
      <c r="B36" s="525"/>
      <c r="C36" s="525"/>
      <c r="D36" s="525"/>
      <c r="E36" s="525"/>
      <c r="F36" s="525"/>
      <c r="G36" s="525"/>
      <c r="H36" s="288"/>
      <c r="I36" s="288"/>
      <c r="J36" s="288"/>
      <c r="K36" s="288"/>
    </row>
    <row r="37" spans="1:13" s="287" customFormat="1" ht="14.25">
      <c r="A37" s="517" t="s">
        <v>973</v>
      </c>
      <c r="B37" s="517"/>
      <c r="C37" s="517"/>
      <c r="D37" s="517"/>
      <c r="E37" s="517"/>
      <c r="F37" s="517"/>
      <c r="G37" s="517"/>
      <c r="H37" s="288"/>
    </row>
    <row r="38" spans="1:13" s="287" customFormat="1">
      <c r="A38" s="529" t="s">
        <v>440</v>
      </c>
      <c r="B38" s="529"/>
      <c r="C38" s="529"/>
      <c r="D38" s="529"/>
      <c r="E38" s="529"/>
      <c r="F38" s="529"/>
      <c r="G38" s="529"/>
      <c r="H38" s="288"/>
      <c r="I38" s="288"/>
      <c r="J38" s="288"/>
      <c r="K38" s="288"/>
    </row>
    <row r="39" spans="1:13" s="287" customFormat="1">
      <c r="A39" s="525" t="s">
        <v>441</v>
      </c>
      <c r="B39" s="525"/>
      <c r="C39" s="525"/>
      <c r="D39" s="525"/>
      <c r="E39" s="525"/>
      <c r="F39" s="525"/>
      <c r="G39" s="525"/>
      <c r="H39" s="288"/>
      <c r="I39" s="288"/>
      <c r="J39" s="288"/>
      <c r="K39" s="288"/>
    </row>
    <row r="40" spans="1:13" s="287" customFormat="1">
      <c r="A40" s="525" t="s">
        <v>442</v>
      </c>
      <c r="B40" s="525"/>
      <c r="C40" s="525"/>
      <c r="D40" s="525"/>
      <c r="E40" s="525"/>
      <c r="F40" s="525"/>
      <c r="G40" s="525"/>
      <c r="H40" s="288"/>
      <c r="I40" s="288"/>
      <c r="J40" s="288"/>
      <c r="K40" s="288"/>
    </row>
    <row r="41" spans="1:13" ht="6" customHeight="1">
      <c r="A41" s="604"/>
      <c r="B41" s="604"/>
      <c r="C41" s="604"/>
      <c r="D41" s="604"/>
      <c r="E41" s="604"/>
      <c r="F41" s="604"/>
      <c r="G41" s="604"/>
    </row>
    <row r="42" spans="1:13">
      <c r="A42" s="619" t="s">
        <v>48</v>
      </c>
      <c r="B42" s="620"/>
      <c r="C42" s="620"/>
      <c r="D42" s="620"/>
      <c r="E42" s="620"/>
      <c r="F42" s="620"/>
      <c r="G42" s="621"/>
    </row>
    <row r="43" spans="1:13" s="288" customFormat="1" ht="6" customHeight="1">
      <c r="A43" s="614"/>
      <c r="B43" s="520"/>
      <c r="C43" s="520"/>
      <c r="D43" s="520"/>
      <c r="E43" s="520"/>
      <c r="F43" s="520"/>
      <c r="G43" s="615"/>
      <c r="L43" s="287"/>
      <c r="M43" s="287"/>
    </row>
    <row r="44" spans="1:13" s="280" customFormat="1" ht="13.5" customHeight="1">
      <c r="A44" s="614" t="s">
        <v>419</v>
      </c>
      <c r="B44" s="520"/>
      <c r="C44" s="520"/>
      <c r="D44" s="520"/>
      <c r="E44" s="520"/>
      <c r="F44" s="520"/>
      <c r="G44" s="615"/>
      <c r="L44" s="279"/>
      <c r="M44" s="279"/>
    </row>
    <row r="45" spans="1:13" s="280" customFormat="1" ht="13.5" customHeight="1">
      <c r="A45" s="614" t="s">
        <v>990</v>
      </c>
      <c r="B45" s="520"/>
      <c r="C45" s="520"/>
      <c r="D45" s="520"/>
      <c r="E45" s="520"/>
      <c r="F45" s="520"/>
      <c r="G45" s="615"/>
      <c r="L45" s="279"/>
      <c r="M45" s="279"/>
    </row>
    <row r="46" spans="1:13" s="288" customFormat="1" ht="13.5" customHeight="1">
      <c r="A46" s="614" t="s">
        <v>992</v>
      </c>
      <c r="B46" s="520"/>
      <c r="C46" s="520"/>
      <c r="D46" s="520"/>
      <c r="E46" s="520"/>
      <c r="F46" s="520"/>
      <c r="G46" s="615"/>
      <c r="L46" s="287"/>
      <c r="M46" s="287"/>
    </row>
    <row r="47" spans="1:13" s="288" customFormat="1" ht="13.5" customHeight="1">
      <c r="A47" s="614" t="s">
        <v>991</v>
      </c>
      <c r="B47" s="520"/>
      <c r="C47" s="520"/>
      <c r="D47" s="520"/>
      <c r="E47" s="520"/>
      <c r="F47" s="520"/>
      <c r="G47" s="615"/>
      <c r="L47" s="287"/>
      <c r="M47" s="287"/>
    </row>
    <row r="48" spans="1:13" s="288" customFormat="1" ht="13.5" customHeight="1">
      <c r="A48" s="614" t="s">
        <v>994</v>
      </c>
      <c r="B48" s="520"/>
      <c r="C48" s="520"/>
      <c r="D48" s="520"/>
      <c r="E48" s="520"/>
      <c r="F48" s="520"/>
      <c r="G48" s="615"/>
      <c r="L48" s="287"/>
      <c r="M48" s="287"/>
    </row>
    <row r="49" spans="1:13" s="88" customFormat="1" ht="13.5" customHeight="1">
      <c r="A49" s="614" t="s">
        <v>993</v>
      </c>
      <c r="B49" s="520"/>
      <c r="C49" s="520"/>
      <c r="D49" s="520"/>
      <c r="E49" s="520"/>
      <c r="F49" s="520"/>
      <c r="G49" s="615"/>
      <c r="L49" s="133"/>
      <c r="M49" s="133"/>
    </row>
    <row r="50" spans="1:13" s="288" customFormat="1" ht="13.5" customHeight="1">
      <c r="A50" s="614" t="s">
        <v>1009</v>
      </c>
      <c r="B50" s="520"/>
      <c r="C50" s="520"/>
      <c r="D50" s="520"/>
      <c r="E50" s="520"/>
      <c r="F50" s="520"/>
      <c r="G50" s="615"/>
      <c r="L50" s="287"/>
      <c r="M50" s="287"/>
    </row>
    <row r="51" spans="1:13" s="288" customFormat="1" ht="7.5" customHeight="1">
      <c r="A51" s="614"/>
      <c r="B51" s="520"/>
      <c r="C51" s="520"/>
      <c r="D51" s="520"/>
      <c r="E51" s="520"/>
      <c r="F51" s="520"/>
      <c r="G51" s="615"/>
      <c r="L51" s="287"/>
      <c r="M51" s="287"/>
    </row>
    <row r="52" spans="1:13" s="288" customFormat="1" ht="13.5" customHeight="1">
      <c r="A52" s="614" t="s">
        <v>1000</v>
      </c>
      <c r="B52" s="520"/>
      <c r="C52" s="520"/>
      <c r="D52" s="520"/>
      <c r="E52" s="520"/>
      <c r="F52" s="520"/>
      <c r="G52" s="615"/>
      <c r="L52" s="287"/>
      <c r="M52" s="287"/>
    </row>
    <row r="53" spans="1:13" s="288" customFormat="1" ht="13.5" customHeight="1">
      <c r="A53" s="614" t="s">
        <v>409</v>
      </c>
      <c r="B53" s="520"/>
      <c r="C53" s="520"/>
      <c r="D53" s="520"/>
      <c r="E53" s="520"/>
      <c r="F53" s="520"/>
      <c r="G53" s="615"/>
      <c r="L53" s="287"/>
      <c r="M53" s="287"/>
    </row>
    <row r="54" spans="1:13" s="288" customFormat="1" ht="13.5" customHeight="1">
      <c r="A54" s="614" t="s">
        <v>543</v>
      </c>
      <c r="B54" s="520"/>
      <c r="C54" s="520"/>
      <c r="D54" s="520"/>
      <c r="E54" s="520"/>
      <c r="F54" s="520"/>
      <c r="G54" s="615"/>
      <c r="L54" s="287"/>
      <c r="M54" s="287"/>
    </row>
    <row r="55" spans="1:13" s="288" customFormat="1" ht="13.5" customHeight="1">
      <c r="A55" s="614" t="s">
        <v>544</v>
      </c>
      <c r="B55" s="520"/>
      <c r="C55" s="520"/>
      <c r="D55" s="520"/>
      <c r="E55" s="520"/>
      <c r="F55" s="520"/>
      <c r="G55" s="615"/>
      <c r="L55" s="287"/>
      <c r="M55" s="287"/>
    </row>
    <row r="56" spans="1:13" s="288" customFormat="1" ht="13.5" customHeight="1">
      <c r="A56" s="614" t="s">
        <v>997</v>
      </c>
      <c r="B56" s="520"/>
      <c r="C56" s="520"/>
      <c r="D56" s="520"/>
      <c r="E56" s="520"/>
      <c r="F56" s="520"/>
      <c r="G56" s="615"/>
      <c r="L56" s="287"/>
      <c r="M56" s="287"/>
    </row>
    <row r="57" spans="1:13" s="288" customFormat="1" ht="13.5" customHeight="1">
      <c r="A57" s="614" t="s">
        <v>995</v>
      </c>
      <c r="B57" s="520"/>
      <c r="C57" s="520"/>
      <c r="D57" s="520"/>
      <c r="E57" s="520"/>
      <c r="F57" s="520"/>
      <c r="G57" s="615"/>
      <c r="L57" s="287"/>
      <c r="M57" s="287"/>
    </row>
    <row r="58" spans="1:13" s="288" customFormat="1" ht="13.5" customHeight="1">
      <c r="A58" s="614" t="s">
        <v>996</v>
      </c>
      <c r="B58" s="520"/>
      <c r="C58" s="520"/>
      <c r="D58" s="520"/>
      <c r="E58" s="520"/>
      <c r="F58" s="520"/>
      <c r="G58" s="615"/>
      <c r="L58" s="287"/>
      <c r="M58" s="287"/>
    </row>
    <row r="59" spans="1:13" s="288" customFormat="1" ht="13.5" customHeight="1">
      <c r="A59" s="614" t="s">
        <v>1001</v>
      </c>
      <c r="B59" s="520"/>
      <c r="C59" s="520"/>
      <c r="D59" s="520"/>
      <c r="E59" s="520"/>
      <c r="F59" s="520"/>
      <c r="G59" s="615"/>
      <c r="L59" s="287"/>
      <c r="M59" s="287"/>
    </row>
    <row r="60" spans="1:13" s="88" customFormat="1" ht="5.25" customHeight="1">
      <c r="A60" s="614"/>
      <c r="B60" s="520"/>
      <c r="C60" s="520"/>
      <c r="D60" s="520"/>
      <c r="E60" s="520"/>
      <c r="F60" s="520"/>
      <c r="G60" s="615"/>
      <c r="L60" s="133"/>
      <c r="M60" s="133"/>
    </row>
    <row r="61" spans="1:13" s="88" customFormat="1" ht="21">
      <c r="A61" s="36" t="s">
        <v>114</v>
      </c>
      <c r="B61" s="139">
        <f>$B$1</f>
        <v>17</v>
      </c>
      <c r="C61" s="37" t="s">
        <v>39</v>
      </c>
      <c r="D61" s="38" t="str">
        <f>$E$1</f>
        <v>遭遇毎</v>
      </c>
      <c r="E61" s="691" t="str">
        <f>$B$2</f>
        <v>カース・オヴ・ヘイムナスーン</v>
      </c>
      <c r="F61" s="692"/>
      <c r="G61" s="693"/>
      <c r="L61" s="133"/>
      <c r="M61" s="133"/>
    </row>
  </sheetData>
  <mergeCells count="59">
    <mergeCell ref="A57:G57"/>
    <mergeCell ref="A53:G53"/>
    <mergeCell ref="A54:G54"/>
    <mergeCell ref="A56:G56"/>
    <mergeCell ref="A55:G55"/>
    <mergeCell ref="A46:G46"/>
    <mergeCell ref="A50:G50"/>
    <mergeCell ref="A47:G47"/>
    <mergeCell ref="A48:G48"/>
    <mergeCell ref="A34:G34"/>
    <mergeCell ref="A35:G35"/>
    <mergeCell ref="A36:G36"/>
    <mergeCell ref="A37:G37"/>
    <mergeCell ref="A43:G43"/>
    <mergeCell ref="A38:G38"/>
    <mergeCell ref="A39:G39"/>
    <mergeCell ref="A40:G40"/>
    <mergeCell ref="A41:G41"/>
    <mergeCell ref="A42:G42"/>
    <mergeCell ref="H4:M4"/>
    <mergeCell ref="A60:G60"/>
    <mergeCell ref="E61:G61"/>
    <mergeCell ref="A49:G49"/>
    <mergeCell ref="A51:G51"/>
    <mergeCell ref="A52:G52"/>
    <mergeCell ref="A59:G59"/>
    <mergeCell ref="A58:G58"/>
    <mergeCell ref="J11:K11"/>
    <mergeCell ref="B13:G13"/>
    <mergeCell ref="B14:G14"/>
    <mergeCell ref="B6:D6"/>
    <mergeCell ref="B7:D7"/>
    <mergeCell ref="B8:G8"/>
    <mergeCell ref="A44:G44"/>
    <mergeCell ref="A45:G45"/>
    <mergeCell ref="A30:G30"/>
    <mergeCell ref="B1:C1"/>
    <mergeCell ref="F1:G1"/>
    <mergeCell ref="B2:G2"/>
    <mergeCell ref="B4:G4"/>
    <mergeCell ref="B5:G5"/>
    <mergeCell ref="A24:A27"/>
    <mergeCell ref="B12:G12"/>
    <mergeCell ref="A32:G32"/>
    <mergeCell ref="A33:G33"/>
    <mergeCell ref="J9:K9"/>
    <mergeCell ref="B11:G11"/>
    <mergeCell ref="B15:G15"/>
    <mergeCell ref="B16:G16"/>
    <mergeCell ref="A28:G28"/>
    <mergeCell ref="A18:C19"/>
    <mergeCell ref="D18:E18"/>
    <mergeCell ref="F18:G18"/>
    <mergeCell ref="A20:A23"/>
    <mergeCell ref="C20:C23"/>
    <mergeCell ref="A29:G29"/>
    <mergeCell ref="A31:G31"/>
    <mergeCell ref="B9:G9"/>
    <mergeCell ref="B10:G1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K8</xm:sqref>
        </x14:dataValidation>
        <x14:dataValidation type="list" allowBlank="1" showInputMessage="1" showErrorMessage="1">
          <x14:formula1>
            <xm:f>基本!$D$27:$D$31</xm:f>
          </x14:formula1>
          <xm:sqref>I7</xm:sqref>
        </x14:dataValidation>
        <x14:dataValidation type="list" allowBlank="1" showInputMessage="1" showErrorMessage="1">
          <x14:formula1>
            <xm:f>基本!$A$5:$A$10</xm:f>
          </x14:formula1>
          <xm:sqref>I8 I10 K15</xm:sqref>
        </x14:dataValidation>
        <x14:dataValidation type="list" allowBlank="1" showInputMessage="1" showErrorMessage="1">
          <x14:formula1>
            <xm:f>基本!$B$27:$B$31</xm:f>
          </x14:formula1>
          <xm:sqref>I6</xm:sqref>
        </x14:dataValidation>
        <x14:dataValidation type="list" allowBlank="1" showInputMessage="1" showErrorMessage="1">
          <x14:formula1>
            <xm:f>基本!$A$27:$A$33</xm:f>
          </x14:formula1>
          <xm:sqref>I5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M55"/>
  <sheetViews>
    <sheetView zoomScaleNormal="100" workbookViewId="0">
      <selection activeCell="B2" sqref="B2:G2"/>
    </sheetView>
  </sheetViews>
  <sheetFormatPr defaultRowHeight="13.5"/>
  <cols>
    <col min="1" max="1" width="7.875" style="287" customWidth="1"/>
    <col min="2" max="2" width="8.5" style="287" customWidth="1"/>
    <col min="3" max="3" width="6.625" style="287" customWidth="1"/>
    <col min="4" max="4" width="15.75" style="287" customWidth="1"/>
    <col min="5" max="6" width="15.75" style="288" customWidth="1"/>
    <col min="7" max="7" width="18.25" style="288" customWidth="1"/>
    <col min="8" max="8" width="17.375" style="288" customWidth="1"/>
    <col min="9" max="9" width="14.625" style="288" customWidth="1"/>
    <col min="10" max="10" width="8.375" style="288" customWidth="1"/>
    <col min="11" max="11" width="7.5" style="288" customWidth="1"/>
    <col min="12" max="13" width="7.875" style="287" customWidth="1"/>
    <col min="14" max="14" width="9.25" style="287" customWidth="1"/>
    <col min="15" max="15" width="12.375" style="287" customWidth="1"/>
    <col min="16" max="16384" width="9" style="287"/>
  </cols>
  <sheetData>
    <row r="1" spans="1:13" ht="21">
      <c r="A1" s="116" t="s">
        <v>32</v>
      </c>
      <c r="B1" s="734">
        <v>1</v>
      </c>
      <c r="C1" s="735"/>
      <c r="D1" s="117" t="s">
        <v>39</v>
      </c>
      <c r="E1" s="118" t="s">
        <v>120</v>
      </c>
      <c r="F1" s="736"/>
      <c r="G1" s="737"/>
      <c r="H1" s="244" t="s">
        <v>54</v>
      </c>
    </row>
    <row r="2" spans="1:13" ht="24.75" customHeight="1">
      <c r="A2" s="117" t="s">
        <v>0</v>
      </c>
      <c r="B2" s="738" t="s">
        <v>940</v>
      </c>
      <c r="C2" s="738"/>
      <c r="D2" s="738"/>
      <c r="E2" s="738"/>
      <c r="F2" s="738"/>
      <c r="G2" s="738"/>
      <c r="H2" s="244" t="s">
        <v>55</v>
      </c>
    </row>
    <row r="3" spans="1:13" ht="19.5" customHeight="1">
      <c r="A3" s="246" t="s">
        <v>47</v>
      </c>
      <c r="B3" s="288"/>
      <c r="C3" s="288"/>
      <c r="D3" s="288"/>
      <c r="I3" s="244"/>
    </row>
    <row r="4" spans="1:13">
      <c r="A4" s="260" t="s">
        <v>45</v>
      </c>
      <c r="B4" s="628" t="s">
        <v>818</v>
      </c>
      <c r="C4" s="629"/>
      <c r="D4" s="629"/>
      <c r="E4" s="629"/>
      <c r="F4" s="629"/>
      <c r="G4" s="630"/>
      <c r="H4" s="539" t="s">
        <v>980</v>
      </c>
      <c r="I4" s="540"/>
      <c r="J4" s="540"/>
      <c r="K4" s="540"/>
      <c r="L4" s="540"/>
      <c r="M4" s="541"/>
    </row>
    <row r="5" spans="1:13">
      <c r="A5" s="261" t="s">
        <v>38</v>
      </c>
      <c r="B5" s="628" t="s">
        <v>819</v>
      </c>
      <c r="C5" s="629"/>
      <c r="D5" s="629"/>
      <c r="E5" s="629"/>
      <c r="F5" s="629"/>
      <c r="G5" s="630"/>
      <c r="H5" s="481" t="s">
        <v>42</v>
      </c>
      <c r="I5" s="483" t="s">
        <v>69</v>
      </c>
      <c r="J5" s="483"/>
    </row>
    <row r="6" spans="1:13">
      <c r="A6" s="261" t="s">
        <v>7</v>
      </c>
      <c r="B6" s="628" t="s">
        <v>5</v>
      </c>
      <c r="C6" s="629"/>
      <c r="D6" s="630"/>
      <c r="E6" s="481" t="s">
        <v>42</v>
      </c>
      <c r="F6" s="482" t="str">
        <f>$I$5</f>
        <v>近接範囲</v>
      </c>
      <c r="G6" s="482" t="str">
        <f>IF($J$5 = 0,"", $J$5)</f>
        <v/>
      </c>
      <c r="H6" s="481" t="s">
        <v>65</v>
      </c>
      <c r="I6" s="483" t="s">
        <v>71</v>
      </c>
      <c r="J6" s="483" t="s">
        <v>552</v>
      </c>
    </row>
    <row r="7" spans="1:13">
      <c r="A7" s="123" t="s">
        <v>6</v>
      </c>
      <c r="B7" s="628" t="s">
        <v>820</v>
      </c>
      <c r="C7" s="629"/>
      <c r="D7" s="630"/>
      <c r="E7" s="481" t="s">
        <v>65</v>
      </c>
      <c r="F7" s="482" t="str">
        <f>IF($I$6 = 0,"", $I$6)</f>
        <v>噴射</v>
      </c>
      <c r="G7" s="482" t="str">
        <f>IF($J$6 = 0,"", $J$6)</f>
        <v>3 ( or 4 )</v>
      </c>
      <c r="H7" s="481" t="s">
        <v>84</v>
      </c>
      <c r="I7" s="483" t="s">
        <v>112</v>
      </c>
      <c r="J7" s="244" t="s">
        <v>61</v>
      </c>
      <c r="L7" s="230" t="s">
        <v>343</v>
      </c>
    </row>
    <row r="8" spans="1:13">
      <c r="A8" s="262" t="s">
        <v>8</v>
      </c>
      <c r="B8" s="628" t="s">
        <v>141</v>
      </c>
      <c r="C8" s="629"/>
      <c r="D8" s="629"/>
      <c r="E8" s="629"/>
      <c r="F8" s="629"/>
      <c r="G8" s="630"/>
      <c r="H8" s="481" t="s">
        <v>50</v>
      </c>
      <c r="I8" s="483" t="s">
        <v>139</v>
      </c>
      <c r="J8" s="482">
        <f>IF($I$8 = "筋力",基本!$C$5,IF($I$8 = "耐久力",基本!$C$6,IF($I$8 = "敏捷力",基本!$C$7,IF($I$8 = "知力",基本!$C$8,IF($I$8 = "判断力",基本!$C$9,IF($I$8 = "判断力",基本!$C$10,""))))))</f>
        <v>7</v>
      </c>
      <c r="K8" s="513" t="s">
        <v>19</v>
      </c>
      <c r="L8" s="229">
        <f>$J$8+$L$9+$I$9</f>
        <v>22</v>
      </c>
    </row>
    <row r="9" spans="1:13">
      <c r="A9" s="273" t="s">
        <v>371</v>
      </c>
      <c r="B9" s="642" t="s">
        <v>824</v>
      </c>
      <c r="C9" s="643"/>
      <c r="D9" s="643"/>
      <c r="E9" s="643"/>
      <c r="F9" s="643"/>
      <c r="G9" s="644"/>
      <c r="H9" s="481" t="s">
        <v>57</v>
      </c>
      <c r="I9" s="483">
        <v>0</v>
      </c>
      <c r="J9" s="539" t="s">
        <v>52</v>
      </c>
      <c r="K9" s="541"/>
      <c r="L9" s="482">
        <f>IF($I$7=基本!$F$4,基本!$O$7,IF($I$7=基本!$F$13,基本!$O$16,IF($I$7=基本!$F$22,基本!$O$25,IF($I$7=基本!$F$31,基本!$O$34,IF($I$7=基本!$F$40,基本!$O$43,0)))))</f>
        <v>15</v>
      </c>
    </row>
    <row r="10" spans="1:13">
      <c r="A10" s="274"/>
      <c r="B10" s="645" t="s">
        <v>825</v>
      </c>
      <c r="C10" s="646"/>
      <c r="D10" s="646"/>
      <c r="E10" s="646"/>
      <c r="F10" s="646"/>
      <c r="G10" s="647"/>
      <c r="H10" s="480" t="s">
        <v>51</v>
      </c>
      <c r="I10" s="483" t="s">
        <v>139</v>
      </c>
      <c r="J10" s="249">
        <f>IF($I$10 = "筋力",基本!$C$5,IF($I$10 = "耐久力",基本!$C$6,IF($I$10 = "敏捷力",基本!$C$7,IF($I$10 = "知力",基本!$C$8,IF($I$10 = "判断力",基本!$C$9,IF($I$10 = "判断力",基本!$C$10,""))))))</f>
        <v>7</v>
      </c>
      <c r="K10" s="513" t="s">
        <v>15</v>
      </c>
      <c r="L10" s="512">
        <f>IF(K10="",0,VLOOKUP(K10,基本!$A$5:'基本'!$C$10,3,FALSE))</f>
        <v>3</v>
      </c>
    </row>
    <row r="11" spans="1:13" ht="8.25" customHeight="1">
      <c r="A11" s="264"/>
      <c r="B11" s="651"/>
      <c r="C11" s="652"/>
      <c r="D11" s="652"/>
      <c r="E11" s="652"/>
      <c r="F11" s="652"/>
      <c r="G11" s="712"/>
      <c r="H11" s="481" t="s">
        <v>58</v>
      </c>
      <c r="I11" s="483">
        <v>0</v>
      </c>
      <c r="J11" s="539" t="s">
        <v>53</v>
      </c>
      <c r="K11" s="541"/>
      <c r="L11" s="482">
        <f>IF($I$7=基本!$F$4,基本!$O$9,IF($I$7=基本!$F$13,基本!$O$18,IF($I$7=基本!$F$22,基本!$O$27,IF($I$7=基本!$F$31,基本!$O$36,IF($I$7=基本!$F$40,基本!$O$45,0)))))</f>
        <v>4</v>
      </c>
    </row>
    <row r="12" spans="1:13" ht="13.5" customHeight="1">
      <c r="A12" s="274" t="s">
        <v>821</v>
      </c>
      <c r="B12" s="675" t="s">
        <v>822</v>
      </c>
      <c r="C12" s="646"/>
      <c r="D12" s="646"/>
      <c r="E12" s="646"/>
      <c r="F12" s="646"/>
      <c r="G12" s="647"/>
      <c r="J12" s="287"/>
      <c r="K12" s="287"/>
      <c r="L12" s="230" t="s">
        <v>343</v>
      </c>
      <c r="M12" s="506" t="s">
        <v>59</v>
      </c>
    </row>
    <row r="13" spans="1:13" ht="13.5" customHeight="1">
      <c r="A13" s="274"/>
      <c r="B13" s="645" t="s">
        <v>823</v>
      </c>
      <c r="C13" s="646"/>
      <c r="D13" s="646"/>
      <c r="E13" s="646"/>
      <c r="F13" s="646"/>
      <c r="G13" s="647"/>
      <c r="H13" s="511" t="s">
        <v>85</v>
      </c>
      <c r="I13" s="513">
        <v>2</v>
      </c>
      <c r="J13" s="511" t="s">
        <v>43</v>
      </c>
      <c r="K13" s="513">
        <v>6</v>
      </c>
      <c r="L13" s="229">
        <f>J10+IF(I13=0,0,L11)+I11</f>
        <v>11</v>
      </c>
      <c r="M13" s="513" t="s">
        <v>79</v>
      </c>
    </row>
    <row r="14" spans="1:13" ht="8.25" customHeight="1">
      <c r="A14" s="264"/>
      <c r="B14" s="651"/>
      <c r="C14" s="652"/>
      <c r="D14" s="652"/>
      <c r="E14" s="652"/>
      <c r="F14" s="652"/>
      <c r="G14" s="712"/>
      <c r="H14" s="511" t="s">
        <v>49</v>
      </c>
      <c r="I14" s="245">
        <f>IF($I$7=基本!$F$4,基本!$L$11,IF($I$7=基本!$F$13,基本!$L$20,IF($I$7=基本!$F$22,基本!$L$29,IF($I$7=基本!$F$31,基本!$L$38,IF($I$7=基本!$F$40,基本!$L$47,0)))))</f>
        <v>5</v>
      </c>
      <c r="J14" s="511" t="s">
        <v>43</v>
      </c>
      <c r="K14" s="245">
        <f>IF($I$7=基本!$F$4,基本!$N$11,IF($I$7=基本!$F$13,基本!$N$20,IF($I$7=基本!$F$22,基本!$N$29,IF($I$7=基本!$F$31,基本!$N$38,IF($I$7=基本!$F$40,基本!$N$47,0)))))</f>
        <v>12</v>
      </c>
      <c r="L14" s="229">
        <f>L13+(I13*K13)</f>
        <v>23</v>
      </c>
      <c r="M14" s="513" t="s">
        <v>79</v>
      </c>
    </row>
    <row r="15" spans="1:13" ht="13.5" customHeight="1">
      <c r="A15" s="273" t="s">
        <v>60</v>
      </c>
      <c r="B15" s="645" t="s">
        <v>826</v>
      </c>
      <c r="C15" s="646"/>
      <c r="D15" s="646"/>
      <c r="E15" s="646"/>
      <c r="F15" s="646"/>
      <c r="G15" s="647"/>
      <c r="H15" s="511" t="s">
        <v>982</v>
      </c>
      <c r="I15" s="245">
        <f>I14+2</f>
        <v>7</v>
      </c>
      <c r="J15" s="511" t="s">
        <v>43</v>
      </c>
      <c r="K15" s="245">
        <f>IF($I$7=基本!$F$4,基本!$N$11,IF($I$7=基本!$F$13,基本!$N$20,IF($I$7=基本!$F$22,基本!$N$29,IF($I$7=基本!$F$31,基本!$N$38,IF($I$7=基本!$F$40,基本!$N$47,0)))))</f>
        <v>12</v>
      </c>
      <c r="L15" s="229">
        <f>L14</f>
        <v>23</v>
      </c>
      <c r="M15" s="515">
        <f>L15+(I15*K15)</f>
        <v>107</v>
      </c>
    </row>
    <row r="16" spans="1:13" ht="8.25" customHeight="1">
      <c r="A16" s="264"/>
      <c r="B16" s="651"/>
      <c r="C16" s="652"/>
      <c r="D16" s="652"/>
      <c r="E16" s="652"/>
      <c r="F16" s="652"/>
      <c r="G16" s="712"/>
      <c r="H16" s="287"/>
      <c r="I16" s="287"/>
      <c r="J16" s="287"/>
      <c r="K16" s="287"/>
    </row>
    <row r="17" spans="1:11" ht="14.25" thickBot="1">
      <c r="A17" s="265" t="s">
        <v>46</v>
      </c>
      <c r="E17" s="241"/>
      <c r="H17" s="287"/>
      <c r="I17" s="287"/>
      <c r="J17" s="287"/>
      <c r="K17" s="287"/>
    </row>
    <row r="18" spans="1:11" ht="15" customHeight="1">
      <c r="A18" s="728" t="str">
        <f>$B$2</f>
        <v>サイレント・マレディクション</v>
      </c>
      <c r="B18" s="729"/>
      <c r="C18" s="730"/>
      <c r="D18" s="662" t="s">
        <v>2</v>
      </c>
      <c r="E18" s="663"/>
      <c r="F18" s="664" t="s">
        <v>479</v>
      </c>
      <c r="G18" s="665"/>
      <c r="H18" s="287"/>
      <c r="I18" s="287"/>
      <c r="J18" s="287"/>
      <c r="K18" s="287"/>
    </row>
    <row r="19" spans="1:11" ht="18.75" customHeight="1" thickBot="1">
      <c r="A19" s="731"/>
      <c r="B19" s="732"/>
      <c r="C19" s="733"/>
      <c r="D19" s="312" t="s">
        <v>2</v>
      </c>
      <c r="E19" s="313" t="s">
        <v>1</v>
      </c>
      <c r="F19" s="312" t="s">
        <v>2</v>
      </c>
      <c r="G19" s="314" t="s">
        <v>1</v>
      </c>
      <c r="H19" s="287"/>
      <c r="I19" s="287"/>
      <c r="J19" s="287"/>
      <c r="K19" s="287"/>
    </row>
    <row r="20" spans="1:11" ht="24" customHeight="1">
      <c r="A20" s="611" t="s">
        <v>41</v>
      </c>
      <c r="B20" s="315" t="s">
        <v>113</v>
      </c>
      <c r="C20" s="666" t="str">
        <f>$K$8</f>
        <v>頑健</v>
      </c>
      <c r="D20" s="316" t="str">
        <f>$L$8 &amp; "+1d20"</f>
        <v>22+1d20</v>
      </c>
      <c r="E20" s="317" t="str">
        <f>$L$8+2 &amp; "+1d20"</f>
        <v>24+1d20</v>
      </c>
      <c r="F20" s="316" t="str">
        <f>$L$8 &amp; "+1d20"</f>
        <v>22+1d20</v>
      </c>
      <c r="G20" s="318" t="str">
        <f>$L$8+2 &amp; "+1d20"</f>
        <v>24+1d20</v>
      </c>
      <c r="H20" s="287"/>
      <c r="I20" s="287"/>
      <c r="J20" s="287"/>
      <c r="K20" s="287"/>
    </row>
    <row r="21" spans="1:11" ht="24" customHeight="1">
      <c r="A21" s="612"/>
      <c r="B21" s="332" t="s">
        <v>483</v>
      </c>
      <c r="C21" s="667"/>
      <c r="D21" s="325" t="str">
        <f>2+$L$8 &amp; "+1d20"</f>
        <v>24+1d20</v>
      </c>
      <c r="E21" s="326" t="str">
        <f>2+$L$8+2 &amp; "+1d20"</f>
        <v>26+1d20</v>
      </c>
      <c r="F21" s="325" t="str">
        <f>2+$L$8 &amp; "+1d20"</f>
        <v>24+1d20</v>
      </c>
      <c r="G21" s="327" t="str">
        <f>2+$L$8+2 &amp; "+1d20"</f>
        <v>26+1d20</v>
      </c>
      <c r="H21" s="287"/>
      <c r="I21" s="287"/>
      <c r="J21" s="287"/>
      <c r="K21" s="287"/>
    </row>
    <row r="22" spans="1:11" ht="24" customHeight="1">
      <c r="A22" s="612"/>
      <c r="B22" s="328" t="s">
        <v>476</v>
      </c>
      <c r="C22" s="667"/>
      <c r="D22" s="329" t="str">
        <f>3+$L$8 &amp; "+1d20"</f>
        <v>25+1d20</v>
      </c>
      <c r="E22" s="330" t="str">
        <f>3+$L$8+2 &amp; "+1d20"</f>
        <v>27+1d20</v>
      </c>
      <c r="F22" s="329" t="str">
        <f>3+$L$8 &amp; "+1d20"</f>
        <v>25+1d20</v>
      </c>
      <c r="G22" s="331" t="str">
        <f>3+$L$8+2 &amp; "+1d20"</f>
        <v>27+1d20</v>
      </c>
      <c r="H22" s="287"/>
      <c r="I22" s="287"/>
      <c r="J22" s="287"/>
      <c r="K22" s="287"/>
    </row>
    <row r="23" spans="1:11" ht="24" customHeight="1" thickBot="1">
      <c r="A23" s="613"/>
      <c r="B23" s="324" t="s">
        <v>482</v>
      </c>
      <c r="C23" s="668"/>
      <c r="D23" s="319" t="str">
        <f>2+3+$L$8 &amp; "+1d20"</f>
        <v>27+1d20</v>
      </c>
      <c r="E23" s="320" t="str">
        <f>2+3+$L$8+2 &amp; "+1d20"</f>
        <v>29+1d20</v>
      </c>
      <c r="F23" s="319" t="str">
        <f>2+3+$L$8 &amp; "+1d20"</f>
        <v>27+1d20</v>
      </c>
      <c r="G23" s="321" t="str">
        <f>2+3+$L$8+2 &amp; "+1d20"</f>
        <v>29+1d20</v>
      </c>
      <c r="H23" s="287"/>
      <c r="I23" s="287"/>
      <c r="J23" s="287"/>
      <c r="K23" s="287"/>
    </row>
    <row r="24" spans="1:11" ht="18" customHeight="1">
      <c r="A24" s="631" t="s">
        <v>113</v>
      </c>
      <c r="B24" s="257" t="s">
        <v>4</v>
      </c>
      <c r="C24" s="233" t="str">
        <f>IF($M$13 = 0,"", $M$13)</f>
        <v>雷鳴</v>
      </c>
      <c r="D24" s="234" t="str">
        <f>$L$13 &amp; "+" &amp; $I$13 &amp; "d" &amp; $K$13</f>
        <v>11+2d6</v>
      </c>
      <c r="E24" s="234" t="str">
        <f>$L$13 &amp; "+" &amp; $I$13 &amp; "d" &amp; $K$13</f>
        <v>11+2d6</v>
      </c>
      <c r="F24" s="234" t="str">
        <f>$L$13+3 &amp; "+" &amp; $I$13 &amp; "d" &amp; $K$13</f>
        <v>14+2d6</v>
      </c>
      <c r="G24" s="235" t="str">
        <f>$L$13+3 &amp; "+" &amp; $I$13 &amp; "d" &amp; $K$13</f>
        <v>14+2d6</v>
      </c>
      <c r="H24" s="287"/>
      <c r="I24" s="287"/>
      <c r="J24" s="287"/>
      <c r="K24" s="287"/>
    </row>
    <row r="25" spans="1:11" ht="18" customHeight="1">
      <c r="A25" s="632"/>
      <c r="B25" s="359" t="s">
        <v>3</v>
      </c>
      <c r="C25" s="360" t="str">
        <f>IF($M$14 = 0,"", $M$14)</f>
        <v>雷鳴</v>
      </c>
      <c r="D25" s="361" t="str">
        <f>$L$14 &amp; "+2d6" &amp; IF($I$14 = 0,"","+" &amp; $I$14 &amp; "d" &amp; $K$14)</f>
        <v>23+2d6+5d12</v>
      </c>
      <c r="E25" s="361" t="str">
        <f>$L$14 &amp; "+2d6" &amp; IF($I$14 = 0,"","+" &amp; $I$14 &amp; "d" &amp; $K$14)</f>
        <v>23+2d6+5d12</v>
      </c>
      <c r="F25" s="361" t="str">
        <f>$L$14+3 &amp; "+2d6" &amp; IF($I$14 = 0,"","+" &amp; $I$14 &amp; "d" &amp; $K$14)</f>
        <v>26+2d6+5d12</v>
      </c>
      <c r="G25" s="363" t="str">
        <f>$L$14+3 &amp; "+2d6" &amp; IF($I$14 = 0,"","+" &amp; $I$14 &amp; "d" &amp; $K$14)</f>
        <v>26+2d6+5d12</v>
      </c>
      <c r="H25" s="287"/>
      <c r="I25" s="287"/>
      <c r="J25" s="287"/>
      <c r="K25" s="287"/>
    </row>
    <row r="26" spans="1:11" ht="18" customHeight="1">
      <c r="A26" s="632"/>
      <c r="B26" s="359" t="s">
        <v>982</v>
      </c>
      <c r="C26" s="360" t="str">
        <f>IF($M$14 = 0,"", $M$14)</f>
        <v>雷鳴</v>
      </c>
      <c r="D26" s="361" t="str">
        <f>$L$15 &amp; "+2d6" &amp; IF($I$15 = 0,"","+" &amp; $I$15 &amp; "d" &amp; $K$15)</f>
        <v>23+2d6+7d12</v>
      </c>
      <c r="E26" s="361" t="str">
        <f>$L$15 &amp; "+2d6" &amp; IF($I$15 = 0,"","+" &amp; $I$15 &amp; "d" &amp; $K$15)</f>
        <v>23+2d6+7d12</v>
      </c>
      <c r="F26" s="361" t="str">
        <f>$L$15+3 &amp; "+2d6" &amp; IF($I$15 = 0,"","+" &amp; $I$15 &amp; "d" &amp; $K$15)</f>
        <v>26+2d6+7d12</v>
      </c>
      <c r="G26" s="363" t="str">
        <f>$L$15+3 &amp; "+2d6" &amp; IF($I$15 = 0,"","+" &amp; $I$15 &amp; "d" &amp; $K$15)</f>
        <v>26+2d6+7d12</v>
      </c>
      <c r="H26" s="287"/>
      <c r="I26" s="287"/>
      <c r="J26" s="287"/>
      <c r="K26" s="287"/>
    </row>
    <row r="27" spans="1:11" ht="18" customHeight="1" thickBot="1">
      <c r="A27" s="633"/>
      <c r="B27" s="514" t="s">
        <v>981</v>
      </c>
      <c r="C27" s="507" t="str">
        <f>IF($M$14 = 0,"", $M$14)</f>
        <v>雷鳴</v>
      </c>
      <c r="D27" s="508">
        <f>$M$15+12</f>
        <v>119</v>
      </c>
      <c r="E27" s="508">
        <f>$M$15+12</f>
        <v>119</v>
      </c>
      <c r="F27" s="508">
        <f>$M$15+3+12</f>
        <v>122</v>
      </c>
      <c r="G27" s="509">
        <f>$M$15+3+12</f>
        <v>122</v>
      </c>
      <c r="H27" s="287"/>
      <c r="I27" s="287"/>
      <c r="J27" s="287"/>
      <c r="K27" s="287"/>
    </row>
    <row r="28" spans="1:11" ht="8.25" customHeight="1">
      <c r="A28" s="523"/>
      <c r="B28" s="523"/>
      <c r="C28" s="523"/>
      <c r="D28" s="523"/>
      <c r="E28" s="523"/>
      <c r="F28" s="523"/>
      <c r="G28" s="523"/>
    </row>
    <row r="29" spans="1:11" ht="14.25">
      <c r="A29" s="517" t="s">
        <v>493</v>
      </c>
      <c r="B29" s="517"/>
      <c r="C29" s="517"/>
      <c r="D29" s="517"/>
      <c r="E29" s="517"/>
      <c r="F29" s="517"/>
      <c r="G29" s="517"/>
    </row>
    <row r="30" spans="1:11">
      <c r="A30" s="529" t="s">
        <v>159</v>
      </c>
      <c r="B30" s="529"/>
      <c r="C30" s="529"/>
      <c r="D30" s="529"/>
      <c r="E30" s="529"/>
      <c r="F30" s="529"/>
      <c r="G30" s="529"/>
    </row>
    <row r="31" spans="1:11">
      <c r="A31" s="525" t="s">
        <v>160</v>
      </c>
      <c r="B31" s="525"/>
      <c r="C31" s="525"/>
      <c r="D31" s="525"/>
      <c r="E31" s="525"/>
      <c r="F31" s="525"/>
      <c r="G31" s="525"/>
    </row>
    <row r="32" spans="1:11" ht="14.25">
      <c r="A32" s="517" t="s">
        <v>815</v>
      </c>
      <c r="B32" s="517"/>
      <c r="C32" s="517"/>
      <c r="D32" s="517"/>
      <c r="E32" s="517"/>
      <c r="F32" s="517"/>
      <c r="G32" s="517"/>
      <c r="I32" s="287"/>
      <c r="J32" s="287"/>
      <c r="K32" s="287"/>
    </row>
    <row r="33" spans="1:11" ht="13.5" customHeight="1">
      <c r="A33" s="529" t="s">
        <v>816</v>
      </c>
      <c r="B33" s="529"/>
      <c r="C33" s="529"/>
      <c r="D33" s="529"/>
      <c r="E33" s="529"/>
      <c r="F33" s="529"/>
      <c r="G33" s="529"/>
      <c r="I33" s="287"/>
      <c r="J33" s="287"/>
      <c r="K33" s="287"/>
    </row>
    <row r="34" spans="1:11" ht="13.5" customHeight="1">
      <c r="A34" s="529" t="s">
        <v>817</v>
      </c>
      <c r="B34" s="529"/>
      <c r="C34" s="529"/>
      <c r="D34" s="529"/>
      <c r="E34" s="529"/>
      <c r="F34" s="529"/>
      <c r="G34" s="529"/>
      <c r="I34" s="287"/>
      <c r="J34" s="287"/>
      <c r="K34" s="287"/>
    </row>
    <row r="35" spans="1:11" ht="14.25">
      <c r="A35" s="517" t="s">
        <v>809</v>
      </c>
      <c r="B35" s="517"/>
      <c r="C35" s="517"/>
      <c r="D35" s="517"/>
      <c r="E35" s="517"/>
      <c r="F35" s="517"/>
      <c r="G35" s="517"/>
      <c r="I35" s="287"/>
      <c r="J35" s="287"/>
      <c r="K35" s="287"/>
    </row>
    <row r="36" spans="1:11" ht="14.25">
      <c r="A36" s="517" t="s">
        <v>147</v>
      </c>
      <c r="B36" s="517"/>
      <c r="C36" s="517"/>
      <c r="D36" s="517"/>
      <c r="E36" s="517"/>
      <c r="F36" s="517"/>
      <c r="G36" s="517"/>
      <c r="I36" s="287"/>
      <c r="J36" s="287"/>
      <c r="K36" s="287"/>
    </row>
    <row r="37" spans="1:11" ht="14.25">
      <c r="A37" s="517" t="s">
        <v>437</v>
      </c>
      <c r="B37" s="517"/>
      <c r="C37" s="517"/>
      <c r="D37" s="517"/>
      <c r="E37" s="517"/>
      <c r="F37" s="517"/>
      <c r="G37" s="517"/>
      <c r="I37" s="287"/>
      <c r="J37" s="287"/>
      <c r="K37" s="287"/>
    </row>
    <row r="38" spans="1:11" ht="13.5" customHeight="1">
      <c r="A38" s="529" t="s">
        <v>506</v>
      </c>
      <c r="B38" s="529"/>
      <c r="C38" s="529"/>
      <c r="D38" s="529"/>
      <c r="E38" s="529"/>
      <c r="F38" s="529"/>
      <c r="G38" s="529"/>
    </row>
    <row r="39" spans="1:11" ht="13.5" customHeight="1">
      <c r="A39" s="525" t="s">
        <v>507</v>
      </c>
      <c r="B39" s="525"/>
      <c r="C39" s="525"/>
      <c r="D39" s="525"/>
      <c r="E39" s="525"/>
      <c r="F39" s="525"/>
      <c r="G39" s="525"/>
    </row>
    <row r="40" spans="1:11" ht="14.25">
      <c r="A40" s="517" t="s">
        <v>973</v>
      </c>
      <c r="B40" s="517"/>
      <c r="C40" s="517"/>
      <c r="D40" s="517"/>
      <c r="E40" s="517"/>
      <c r="F40" s="517"/>
      <c r="G40" s="517"/>
      <c r="I40" s="287"/>
      <c r="J40" s="287"/>
      <c r="K40" s="287"/>
    </row>
    <row r="41" spans="1:11" ht="13.5" customHeight="1">
      <c r="A41" s="529" t="s">
        <v>440</v>
      </c>
      <c r="B41" s="529"/>
      <c r="C41" s="529"/>
      <c r="D41" s="529"/>
      <c r="E41" s="529"/>
      <c r="F41" s="529"/>
      <c r="G41" s="529"/>
    </row>
    <row r="42" spans="1:11" ht="13.5" customHeight="1">
      <c r="A42" s="525" t="s">
        <v>441</v>
      </c>
      <c r="B42" s="525"/>
      <c r="C42" s="525"/>
      <c r="D42" s="525"/>
      <c r="E42" s="525"/>
      <c r="F42" s="525"/>
      <c r="G42" s="525"/>
    </row>
    <row r="43" spans="1:11" ht="13.5" customHeight="1">
      <c r="A43" s="525" t="s">
        <v>442</v>
      </c>
      <c r="B43" s="525"/>
      <c r="C43" s="525"/>
      <c r="D43" s="525"/>
      <c r="E43" s="525"/>
      <c r="F43" s="525"/>
      <c r="G43" s="525"/>
    </row>
    <row r="44" spans="1:11" ht="8.25" customHeight="1">
      <c r="A44" s="604"/>
      <c r="B44" s="604"/>
      <c r="C44" s="604"/>
      <c r="D44" s="604"/>
      <c r="E44" s="604"/>
      <c r="F44" s="604"/>
      <c r="G44" s="604"/>
    </row>
    <row r="45" spans="1:11" ht="13.5" customHeight="1">
      <c r="A45" s="619" t="s">
        <v>48</v>
      </c>
      <c r="B45" s="620"/>
      <c r="C45" s="620"/>
      <c r="D45" s="620"/>
      <c r="E45" s="620"/>
      <c r="F45" s="620"/>
      <c r="G45" s="621"/>
    </row>
    <row r="46" spans="1:11" s="284" customFormat="1" ht="7.5" customHeight="1">
      <c r="A46" s="645"/>
      <c r="B46" s="646"/>
      <c r="C46" s="646"/>
      <c r="D46" s="646"/>
      <c r="E46" s="646"/>
      <c r="F46" s="646"/>
      <c r="G46" s="647"/>
      <c r="H46" s="283"/>
      <c r="I46" s="283"/>
      <c r="J46" s="283"/>
      <c r="K46" s="283"/>
    </row>
    <row r="47" spans="1:11" s="284" customFormat="1" ht="13.5" customHeight="1">
      <c r="A47" s="645" t="s">
        <v>872</v>
      </c>
      <c r="B47" s="646"/>
      <c r="C47" s="646"/>
      <c r="D47" s="646"/>
      <c r="E47" s="646"/>
      <c r="F47" s="646"/>
      <c r="G47" s="647"/>
      <c r="H47" s="283"/>
      <c r="I47" s="283"/>
      <c r="J47" s="283"/>
      <c r="K47" s="283"/>
    </row>
    <row r="48" spans="1:11" s="284" customFormat="1" ht="13.5" customHeight="1">
      <c r="A48" s="645" t="s">
        <v>868</v>
      </c>
      <c r="B48" s="646"/>
      <c r="C48" s="646"/>
      <c r="D48" s="646"/>
      <c r="E48" s="646"/>
      <c r="F48" s="646"/>
      <c r="G48" s="647"/>
      <c r="H48" s="283"/>
      <c r="I48" s="283"/>
      <c r="J48" s="283"/>
      <c r="K48" s="283"/>
    </row>
    <row r="49" spans="1:13" s="284" customFormat="1" ht="13.5" customHeight="1">
      <c r="A49" s="645" t="s">
        <v>870</v>
      </c>
      <c r="B49" s="646"/>
      <c r="C49" s="646"/>
      <c r="D49" s="646"/>
      <c r="E49" s="646"/>
      <c r="F49" s="646"/>
      <c r="G49" s="647"/>
      <c r="H49" s="283"/>
      <c r="I49" s="283"/>
      <c r="J49" s="283"/>
      <c r="K49" s="283"/>
    </row>
    <row r="50" spans="1:13" s="284" customFormat="1" ht="13.5" customHeight="1">
      <c r="A50" s="645" t="s">
        <v>875</v>
      </c>
      <c r="B50" s="646"/>
      <c r="C50" s="646"/>
      <c r="D50" s="646"/>
      <c r="E50" s="646"/>
      <c r="F50" s="646"/>
      <c r="G50" s="647"/>
      <c r="H50" s="283"/>
      <c r="I50" s="283"/>
      <c r="J50" s="283"/>
      <c r="K50" s="283"/>
    </row>
    <row r="51" spans="1:13" s="284" customFormat="1" ht="13.5" customHeight="1">
      <c r="A51" s="645" t="s">
        <v>869</v>
      </c>
      <c r="B51" s="646"/>
      <c r="C51" s="646"/>
      <c r="D51" s="646"/>
      <c r="E51" s="646"/>
      <c r="F51" s="646"/>
      <c r="G51" s="647"/>
      <c r="H51" s="283"/>
      <c r="I51" s="283"/>
      <c r="J51" s="283"/>
      <c r="K51" s="283"/>
    </row>
    <row r="52" spans="1:13" s="284" customFormat="1" ht="13.5" customHeight="1">
      <c r="A52" s="645" t="s">
        <v>876</v>
      </c>
      <c r="B52" s="646"/>
      <c r="C52" s="646"/>
      <c r="D52" s="646"/>
      <c r="E52" s="646"/>
      <c r="F52" s="646"/>
      <c r="G52" s="647"/>
      <c r="H52" s="283"/>
      <c r="I52" s="283"/>
      <c r="J52" s="283"/>
      <c r="K52" s="283"/>
    </row>
    <row r="53" spans="1:13" s="284" customFormat="1" ht="13.5" customHeight="1">
      <c r="A53" s="645" t="s">
        <v>871</v>
      </c>
      <c r="B53" s="646"/>
      <c r="C53" s="646"/>
      <c r="D53" s="646"/>
      <c r="E53" s="646"/>
      <c r="F53" s="646"/>
      <c r="G53" s="647"/>
      <c r="H53" s="283"/>
      <c r="I53" s="283"/>
      <c r="J53" s="283"/>
      <c r="K53" s="283"/>
    </row>
    <row r="54" spans="1:13" s="284" customFormat="1" ht="7.5" customHeight="1">
      <c r="A54" s="645"/>
      <c r="B54" s="646"/>
      <c r="C54" s="646"/>
      <c r="D54" s="646"/>
      <c r="E54" s="646"/>
      <c r="F54" s="646"/>
      <c r="G54" s="647"/>
      <c r="H54" s="283"/>
      <c r="I54" s="283"/>
      <c r="J54" s="283"/>
      <c r="K54" s="283"/>
    </row>
    <row r="55" spans="1:13" s="288" customFormat="1" ht="21">
      <c r="A55" s="119" t="s">
        <v>32</v>
      </c>
      <c r="B55" s="484">
        <f>$B$1</f>
        <v>1</v>
      </c>
      <c r="C55" s="121" t="s">
        <v>39</v>
      </c>
      <c r="D55" s="122" t="str">
        <f>$E$1</f>
        <v>一日毎</v>
      </c>
      <c r="E55" s="725" t="str">
        <f>$B$2</f>
        <v>サイレント・マレディクション</v>
      </c>
      <c r="F55" s="726"/>
      <c r="G55" s="727"/>
      <c r="L55" s="287"/>
      <c r="M55" s="287"/>
    </row>
  </sheetData>
  <mergeCells count="53">
    <mergeCell ref="J9:K9"/>
    <mergeCell ref="H4:M4"/>
    <mergeCell ref="B5:G5"/>
    <mergeCell ref="B10:G10"/>
    <mergeCell ref="B1:C1"/>
    <mergeCell ref="F1:G1"/>
    <mergeCell ref="B2:G2"/>
    <mergeCell ref="B4:G4"/>
    <mergeCell ref="B6:D6"/>
    <mergeCell ref="B7:D7"/>
    <mergeCell ref="B8:G8"/>
    <mergeCell ref="B9:G9"/>
    <mergeCell ref="A18:C19"/>
    <mergeCell ref="D18:E18"/>
    <mergeCell ref="F18:G18"/>
    <mergeCell ref="A20:A23"/>
    <mergeCell ref="C20:C23"/>
    <mergeCell ref="B16:G16"/>
    <mergeCell ref="B11:G11"/>
    <mergeCell ref="J11:K11"/>
    <mergeCell ref="B12:G12"/>
    <mergeCell ref="B13:G13"/>
    <mergeCell ref="B14:G14"/>
    <mergeCell ref="B15:G15"/>
    <mergeCell ref="A54:G54"/>
    <mergeCell ref="A50:G50"/>
    <mergeCell ref="E55:G55"/>
    <mergeCell ref="A32:G32"/>
    <mergeCell ref="A33:G33"/>
    <mergeCell ref="A34:G34"/>
    <mergeCell ref="A37:G37"/>
    <mergeCell ref="A38:G38"/>
    <mergeCell ref="A39:G39"/>
    <mergeCell ref="A35:G35"/>
    <mergeCell ref="A45:G45"/>
    <mergeCell ref="A46:G46"/>
    <mergeCell ref="A52:G52"/>
    <mergeCell ref="A53:G53"/>
    <mergeCell ref="A44:G44"/>
    <mergeCell ref="A41:G41"/>
    <mergeCell ref="A24:A27"/>
    <mergeCell ref="A47:G47"/>
    <mergeCell ref="A48:G48"/>
    <mergeCell ref="A49:G49"/>
    <mergeCell ref="A51:G51"/>
    <mergeCell ref="A42:G42"/>
    <mergeCell ref="A43:G43"/>
    <mergeCell ref="A36:G36"/>
    <mergeCell ref="A28:G28"/>
    <mergeCell ref="A29:G29"/>
    <mergeCell ref="A30:G30"/>
    <mergeCell ref="A31:G31"/>
    <mergeCell ref="A40:G4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M56"/>
  <sheetViews>
    <sheetView zoomScaleNormal="100" workbookViewId="0">
      <selection activeCell="B2" sqref="B2:G2"/>
    </sheetView>
  </sheetViews>
  <sheetFormatPr defaultRowHeight="13.5"/>
  <cols>
    <col min="1" max="1" width="7.875" style="287" customWidth="1"/>
    <col min="2" max="2" width="8.5" style="287" customWidth="1"/>
    <col min="3" max="3" width="6.625" style="287" customWidth="1"/>
    <col min="4" max="4" width="15.75" style="287" customWidth="1"/>
    <col min="5" max="6" width="15.75" style="288" customWidth="1"/>
    <col min="7" max="7" width="18.25" style="288" customWidth="1"/>
    <col min="8" max="8" width="17.375" style="288" customWidth="1"/>
    <col min="9" max="9" width="14.625" style="288" customWidth="1"/>
    <col min="10" max="10" width="8.375" style="288" customWidth="1"/>
    <col min="11" max="11" width="7.5" style="288" customWidth="1"/>
    <col min="12" max="13" width="7.875" style="287" customWidth="1"/>
    <col min="14" max="14" width="9.25" style="287" customWidth="1"/>
    <col min="15" max="15" width="12.375" style="287" customWidth="1"/>
    <col min="16" max="16384" width="9" style="287"/>
  </cols>
  <sheetData>
    <row r="1" spans="1:13" ht="21">
      <c r="A1" s="116" t="s">
        <v>32</v>
      </c>
      <c r="B1" s="734">
        <v>15</v>
      </c>
      <c r="C1" s="735"/>
      <c r="D1" s="117" t="s">
        <v>39</v>
      </c>
      <c r="E1" s="118" t="s">
        <v>120</v>
      </c>
      <c r="F1" s="736"/>
      <c r="G1" s="737"/>
      <c r="H1" s="244" t="s">
        <v>54</v>
      </c>
    </row>
    <row r="2" spans="1:13" ht="24.75" customHeight="1">
      <c r="A2" s="117" t="s">
        <v>0</v>
      </c>
      <c r="B2" s="738" t="s">
        <v>908</v>
      </c>
      <c r="C2" s="738"/>
      <c r="D2" s="738"/>
      <c r="E2" s="738"/>
      <c r="F2" s="738"/>
      <c r="G2" s="738"/>
      <c r="H2" s="244" t="s">
        <v>55</v>
      </c>
    </row>
    <row r="3" spans="1:13" ht="19.5" customHeight="1">
      <c r="A3" s="246" t="s">
        <v>47</v>
      </c>
      <c r="B3" s="288"/>
      <c r="C3" s="288"/>
      <c r="D3" s="288"/>
      <c r="I3" s="244"/>
    </row>
    <row r="4" spans="1:13">
      <c r="A4" s="260" t="s">
        <v>45</v>
      </c>
      <c r="B4" s="628" t="s">
        <v>901</v>
      </c>
      <c r="C4" s="629"/>
      <c r="D4" s="629"/>
      <c r="E4" s="629"/>
      <c r="F4" s="629"/>
      <c r="G4" s="630"/>
      <c r="H4" s="539" t="s">
        <v>980</v>
      </c>
      <c r="I4" s="540"/>
      <c r="J4" s="540"/>
      <c r="K4" s="540"/>
      <c r="L4" s="540"/>
      <c r="M4" s="541"/>
    </row>
    <row r="5" spans="1:13">
      <c r="A5" s="261" t="s">
        <v>38</v>
      </c>
      <c r="B5" s="628" t="s">
        <v>909</v>
      </c>
      <c r="C5" s="629"/>
      <c r="D5" s="629"/>
      <c r="E5" s="629"/>
      <c r="F5" s="629"/>
      <c r="G5" s="630"/>
      <c r="H5" s="490" t="s">
        <v>42</v>
      </c>
      <c r="I5" s="488" t="s">
        <v>82</v>
      </c>
      <c r="J5" s="488">
        <v>10</v>
      </c>
    </row>
    <row r="6" spans="1:13">
      <c r="A6" s="261" t="s">
        <v>7</v>
      </c>
      <c r="B6" s="628" t="s">
        <v>5</v>
      </c>
      <c r="C6" s="629"/>
      <c r="D6" s="630"/>
      <c r="E6" s="490" t="s">
        <v>42</v>
      </c>
      <c r="F6" s="272" t="str">
        <f>$I$5</f>
        <v>遠隔範囲</v>
      </c>
      <c r="G6" s="272">
        <f>IF($J$5 = 0,"", $J$5)</f>
        <v>10</v>
      </c>
      <c r="H6" s="490" t="s">
        <v>65</v>
      </c>
      <c r="I6" s="488" t="s">
        <v>66</v>
      </c>
      <c r="J6" s="488" t="s">
        <v>902</v>
      </c>
    </row>
    <row r="7" spans="1:13">
      <c r="A7" s="123" t="s">
        <v>6</v>
      </c>
      <c r="B7" s="628" t="s">
        <v>903</v>
      </c>
      <c r="C7" s="629"/>
      <c r="D7" s="630"/>
      <c r="E7" s="490" t="s">
        <v>65</v>
      </c>
      <c r="F7" s="272" t="str">
        <f>IF($I$6 = 0,"", $I$6)</f>
        <v>爆発</v>
      </c>
      <c r="G7" s="272" t="str">
        <f>IF($J$6 = 0,"", $J$6)</f>
        <v>2 ( or 3 )</v>
      </c>
      <c r="H7" s="490" t="s">
        <v>84</v>
      </c>
      <c r="I7" s="488" t="s">
        <v>112</v>
      </c>
      <c r="J7" s="244" t="s">
        <v>61</v>
      </c>
      <c r="L7" s="230" t="s">
        <v>343</v>
      </c>
    </row>
    <row r="8" spans="1:13">
      <c r="A8" s="262" t="s">
        <v>8</v>
      </c>
      <c r="B8" s="628" t="s">
        <v>141</v>
      </c>
      <c r="C8" s="629"/>
      <c r="D8" s="629"/>
      <c r="E8" s="629"/>
      <c r="F8" s="629"/>
      <c r="G8" s="630"/>
      <c r="H8" s="490" t="s">
        <v>50</v>
      </c>
      <c r="I8" s="488" t="s">
        <v>139</v>
      </c>
      <c r="J8" s="489">
        <f>IF($I$8 = "筋力",基本!$C$5,IF($I$8 = "耐久力",基本!$C$6,IF($I$8 = "敏捷力",基本!$C$7,IF($I$8 = "知力",基本!$C$8,IF($I$8 = "判断力",基本!$C$9,IF($I$8 = "判断力",基本!$C$10,""))))))</f>
        <v>7</v>
      </c>
      <c r="K8" s="513" t="s">
        <v>19</v>
      </c>
      <c r="L8" s="229">
        <f>$J$8+$L$9+$I$9</f>
        <v>22</v>
      </c>
    </row>
    <row r="9" spans="1:13">
      <c r="A9" s="273" t="s">
        <v>371</v>
      </c>
      <c r="B9" s="642" t="s">
        <v>904</v>
      </c>
      <c r="C9" s="643"/>
      <c r="D9" s="643"/>
      <c r="E9" s="643"/>
      <c r="F9" s="643"/>
      <c r="G9" s="644"/>
      <c r="H9" s="490" t="s">
        <v>57</v>
      </c>
      <c r="I9" s="488">
        <v>0</v>
      </c>
      <c r="J9" s="539" t="s">
        <v>52</v>
      </c>
      <c r="K9" s="541"/>
      <c r="L9" s="489">
        <f>IF($I$7=基本!$F$4,基本!$O$7,IF($I$7=基本!$F$13,基本!$O$16,IF($I$7=基本!$F$22,基本!$O$25,IF($I$7=基本!$F$31,基本!$O$34,IF($I$7=基本!$F$40,基本!$O$43,0)))))</f>
        <v>15</v>
      </c>
    </row>
    <row r="10" spans="1:13">
      <c r="A10" s="274"/>
      <c r="B10" s="645" t="s">
        <v>998</v>
      </c>
      <c r="C10" s="646"/>
      <c r="D10" s="646"/>
      <c r="E10" s="646"/>
      <c r="F10" s="646"/>
      <c r="G10" s="647"/>
      <c r="H10" s="491" t="s">
        <v>51</v>
      </c>
      <c r="I10" s="488" t="s">
        <v>139</v>
      </c>
      <c r="J10" s="249">
        <f>IF($I$10 = "筋力",基本!$C$5,IF($I$10 = "耐久力",基本!$C$6,IF($I$10 = "敏捷力",基本!$C$7,IF($I$10 = "知力",基本!$C$8,IF($I$10 = "判断力",基本!$C$9,IF($I$10 = "判断力",基本!$C$10,""))))))</f>
        <v>7</v>
      </c>
      <c r="K10" s="513" t="s">
        <v>15</v>
      </c>
      <c r="L10" s="512">
        <f>IF(K10="",0,VLOOKUP(K10,基本!$A$5:'基本'!$C$10,3,FALSE))</f>
        <v>3</v>
      </c>
    </row>
    <row r="11" spans="1:13">
      <c r="A11" s="264"/>
      <c r="B11" s="651"/>
      <c r="C11" s="652"/>
      <c r="D11" s="652"/>
      <c r="E11" s="652"/>
      <c r="F11" s="652"/>
      <c r="G11" s="712"/>
      <c r="H11" s="490" t="s">
        <v>58</v>
      </c>
      <c r="I11" s="488">
        <v>0</v>
      </c>
      <c r="J11" s="539" t="s">
        <v>53</v>
      </c>
      <c r="K11" s="541"/>
      <c r="L11" s="489">
        <f>IF($I$7=基本!$F$4,基本!$O$9,IF($I$7=基本!$F$13,基本!$O$18,IF($I$7=基本!$F$22,基本!$O$27,IF($I$7=基本!$F$31,基本!$O$36,IF($I$7=基本!$F$40,基本!$O$45,0)))))</f>
        <v>4</v>
      </c>
    </row>
    <row r="12" spans="1:13" ht="13.5" customHeight="1">
      <c r="A12" s="274" t="s">
        <v>821</v>
      </c>
      <c r="B12" s="675" t="s">
        <v>822</v>
      </c>
      <c r="C12" s="646"/>
      <c r="D12" s="646"/>
      <c r="E12" s="646"/>
      <c r="F12" s="646"/>
      <c r="G12" s="647"/>
      <c r="J12" s="287"/>
      <c r="K12" s="287"/>
      <c r="L12" s="230" t="s">
        <v>343</v>
      </c>
      <c r="M12" s="506" t="s">
        <v>59</v>
      </c>
    </row>
    <row r="13" spans="1:13" ht="13.5" customHeight="1">
      <c r="A13" s="274"/>
      <c r="B13" s="645" t="s">
        <v>905</v>
      </c>
      <c r="C13" s="646"/>
      <c r="D13" s="646"/>
      <c r="E13" s="646"/>
      <c r="F13" s="646"/>
      <c r="G13" s="647"/>
      <c r="H13" s="511" t="s">
        <v>85</v>
      </c>
      <c r="I13" s="513">
        <v>4</v>
      </c>
      <c r="J13" s="511" t="s">
        <v>43</v>
      </c>
      <c r="K13" s="513">
        <v>6</v>
      </c>
      <c r="L13" s="229">
        <f>J10+IF(I13=0,0,L11)+I11</f>
        <v>11</v>
      </c>
      <c r="M13" s="513" t="s">
        <v>73</v>
      </c>
    </row>
    <row r="14" spans="1:13" ht="8.25" customHeight="1">
      <c r="A14" s="264"/>
      <c r="B14" s="651"/>
      <c r="C14" s="652"/>
      <c r="D14" s="652"/>
      <c r="E14" s="652"/>
      <c r="F14" s="652"/>
      <c r="G14" s="712"/>
      <c r="H14" s="511" t="s">
        <v>49</v>
      </c>
      <c r="I14" s="245">
        <f>IF($I$7=基本!$F$4,基本!$L$11,IF($I$7=基本!$F$13,基本!$L$20,IF($I$7=基本!$F$22,基本!$L$29,IF($I$7=基本!$F$31,基本!$L$38,IF($I$7=基本!$F$40,基本!$L$47,0)))))</f>
        <v>5</v>
      </c>
      <c r="J14" s="511" t="s">
        <v>43</v>
      </c>
      <c r="K14" s="245">
        <f>IF($I$7=基本!$F$4,基本!$N$11,IF($I$7=基本!$F$13,基本!$N$20,IF($I$7=基本!$F$22,基本!$N$29,IF($I$7=基本!$F$31,基本!$N$38,IF($I$7=基本!$F$40,基本!$N$47,0)))))</f>
        <v>12</v>
      </c>
      <c r="L14" s="229">
        <f>L13+(I13*K13)</f>
        <v>35</v>
      </c>
      <c r="M14" s="513" t="s">
        <v>73</v>
      </c>
    </row>
    <row r="15" spans="1:13" ht="13.5" customHeight="1">
      <c r="A15" s="273" t="s">
        <v>60</v>
      </c>
      <c r="B15" s="645" t="s">
        <v>906</v>
      </c>
      <c r="C15" s="646"/>
      <c r="D15" s="646"/>
      <c r="E15" s="646"/>
      <c r="F15" s="646"/>
      <c r="G15" s="647"/>
      <c r="H15" s="511" t="s">
        <v>982</v>
      </c>
      <c r="I15" s="245">
        <f>I14+2</f>
        <v>7</v>
      </c>
      <c r="J15" s="511" t="s">
        <v>43</v>
      </c>
      <c r="K15" s="245">
        <f>IF($I$7=基本!$F$4,基本!$N$11,IF($I$7=基本!$F$13,基本!$N$20,IF($I$7=基本!$F$22,基本!$N$29,IF($I$7=基本!$F$31,基本!$N$38,IF($I$7=基本!$F$40,基本!$N$47,0)))))</f>
        <v>12</v>
      </c>
      <c r="L15" s="229">
        <f>L14</f>
        <v>35</v>
      </c>
      <c r="M15" s="515">
        <f>L15+(I15*K15)</f>
        <v>119</v>
      </c>
    </row>
    <row r="16" spans="1:13">
      <c r="A16" s="264"/>
      <c r="B16" s="651" t="s">
        <v>907</v>
      </c>
      <c r="C16" s="652"/>
      <c r="D16" s="652"/>
      <c r="E16" s="652"/>
      <c r="F16" s="652"/>
      <c r="G16" s="712"/>
      <c r="H16" s="287"/>
      <c r="I16" s="287"/>
      <c r="J16" s="287"/>
      <c r="K16" s="287"/>
    </row>
    <row r="17" spans="1:11" ht="14.25" thickBot="1">
      <c r="A17" s="265" t="s">
        <v>46</v>
      </c>
      <c r="E17" s="241"/>
      <c r="H17" s="287"/>
      <c r="I17" s="287"/>
      <c r="J17" s="287"/>
      <c r="K17" s="287"/>
    </row>
    <row r="18" spans="1:11" ht="15" customHeight="1">
      <c r="A18" s="728" t="str">
        <f>$B$2</f>
        <v>アイ・オヴ・ドーン</v>
      </c>
      <c r="B18" s="729"/>
      <c r="C18" s="730"/>
      <c r="D18" s="662" t="s">
        <v>2</v>
      </c>
      <c r="E18" s="663"/>
      <c r="F18" s="664" t="s">
        <v>479</v>
      </c>
      <c r="G18" s="665"/>
      <c r="H18" s="287"/>
      <c r="I18" s="287"/>
      <c r="J18" s="287"/>
      <c r="K18" s="287"/>
    </row>
    <row r="19" spans="1:11" ht="18.75" customHeight="1" thickBot="1">
      <c r="A19" s="731"/>
      <c r="B19" s="732"/>
      <c r="C19" s="733"/>
      <c r="D19" s="312" t="s">
        <v>2</v>
      </c>
      <c r="E19" s="313" t="s">
        <v>1</v>
      </c>
      <c r="F19" s="312" t="s">
        <v>2</v>
      </c>
      <c r="G19" s="314" t="s">
        <v>1</v>
      </c>
      <c r="H19" s="287"/>
      <c r="I19" s="287"/>
      <c r="J19" s="287"/>
      <c r="K19" s="287"/>
    </row>
    <row r="20" spans="1:11" ht="24" customHeight="1">
      <c r="A20" s="611" t="s">
        <v>41</v>
      </c>
      <c r="B20" s="315" t="s">
        <v>113</v>
      </c>
      <c r="C20" s="666" t="str">
        <f>$K$8</f>
        <v>頑健</v>
      </c>
      <c r="D20" s="316" t="str">
        <f>$L$8 &amp; "+1d20"</f>
        <v>22+1d20</v>
      </c>
      <c r="E20" s="317" t="str">
        <f>$L$8+2 &amp; "+1d20"</f>
        <v>24+1d20</v>
      </c>
      <c r="F20" s="316" t="str">
        <f>$L$8 &amp; "+1d20"</f>
        <v>22+1d20</v>
      </c>
      <c r="G20" s="318" t="str">
        <f>$L$8+2 &amp; "+1d20"</f>
        <v>24+1d20</v>
      </c>
      <c r="H20" s="287"/>
      <c r="I20" s="287"/>
      <c r="J20" s="287"/>
      <c r="K20" s="287"/>
    </row>
    <row r="21" spans="1:11" ht="24" customHeight="1">
      <c r="A21" s="612"/>
      <c r="B21" s="332" t="s">
        <v>483</v>
      </c>
      <c r="C21" s="667"/>
      <c r="D21" s="325" t="str">
        <f>2+$L$8 &amp; "+1d20"</f>
        <v>24+1d20</v>
      </c>
      <c r="E21" s="326" t="str">
        <f>2+$L$8+2 &amp; "+1d20"</f>
        <v>26+1d20</v>
      </c>
      <c r="F21" s="325" t="str">
        <f>2+$L$8 &amp; "+1d20"</f>
        <v>24+1d20</v>
      </c>
      <c r="G21" s="327" t="str">
        <f>2+$L$8+2 &amp; "+1d20"</f>
        <v>26+1d20</v>
      </c>
      <c r="H21" s="287"/>
      <c r="I21" s="287"/>
      <c r="J21" s="287"/>
      <c r="K21" s="287"/>
    </row>
    <row r="22" spans="1:11" ht="24" customHeight="1">
      <c r="A22" s="612"/>
      <c r="B22" s="328" t="s">
        <v>476</v>
      </c>
      <c r="C22" s="667"/>
      <c r="D22" s="329" t="str">
        <f>3+$L$8 &amp; "+1d20"</f>
        <v>25+1d20</v>
      </c>
      <c r="E22" s="330" t="str">
        <f>3+$L$8+2 &amp; "+1d20"</f>
        <v>27+1d20</v>
      </c>
      <c r="F22" s="329" t="str">
        <f>3+$L$8 &amp; "+1d20"</f>
        <v>25+1d20</v>
      </c>
      <c r="G22" s="331" t="str">
        <f>3+$L$8+2 &amp; "+1d20"</f>
        <v>27+1d20</v>
      </c>
      <c r="H22" s="287"/>
      <c r="I22" s="287"/>
      <c r="J22" s="287"/>
      <c r="K22" s="287"/>
    </row>
    <row r="23" spans="1:11" ht="24" customHeight="1" thickBot="1">
      <c r="A23" s="613"/>
      <c r="B23" s="324" t="s">
        <v>482</v>
      </c>
      <c r="C23" s="668"/>
      <c r="D23" s="319" t="str">
        <f>2+3+$L$8 &amp; "+1d20"</f>
        <v>27+1d20</v>
      </c>
      <c r="E23" s="320" t="str">
        <f>2+3+$L$8+2 &amp; "+1d20"</f>
        <v>29+1d20</v>
      </c>
      <c r="F23" s="319" t="str">
        <f>2+3+$L$8 &amp; "+1d20"</f>
        <v>27+1d20</v>
      </c>
      <c r="G23" s="321" t="str">
        <f>2+3+$L$8+2 &amp; "+1d20"</f>
        <v>29+1d20</v>
      </c>
      <c r="H23" s="287"/>
      <c r="I23" s="287"/>
      <c r="J23" s="287"/>
      <c r="K23" s="287"/>
    </row>
    <row r="24" spans="1:11" ht="18" customHeight="1">
      <c r="A24" s="631" t="s">
        <v>113</v>
      </c>
      <c r="B24" s="257" t="s">
        <v>4</v>
      </c>
      <c r="C24" s="233" t="str">
        <f>IF($M$13 = 0,"", $M$13)</f>
        <v>光輝</v>
      </c>
      <c r="D24" s="234" t="str">
        <f>$L$13 &amp; "+" &amp; $I$13 &amp; "d" &amp; $K$13</f>
        <v>11+4d6</v>
      </c>
      <c r="E24" s="234" t="str">
        <f>$L$13 &amp; "+" &amp; $I$13 &amp; "d" &amp; $K$13</f>
        <v>11+4d6</v>
      </c>
      <c r="F24" s="234" t="str">
        <f>$L$13+3 &amp; "+" &amp; $I$13 &amp; "d" &amp; $K$13</f>
        <v>14+4d6</v>
      </c>
      <c r="G24" s="235" t="str">
        <f>$L$13+3 &amp; "+" &amp; $I$13 &amp; "d" &amp; $K$13</f>
        <v>14+4d6</v>
      </c>
      <c r="H24" s="287"/>
      <c r="I24" s="287"/>
      <c r="J24" s="287"/>
      <c r="K24" s="287"/>
    </row>
    <row r="25" spans="1:11" ht="18" customHeight="1">
      <c r="A25" s="632"/>
      <c r="B25" s="359" t="s">
        <v>3</v>
      </c>
      <c r="C25" s="360" t="str">
        <f>IF($M$14 = 0,"", $M$14)</f>
        <v>光輝</v>
      </c>
      <c r="D25" s="361" t="str">
        <f>$L$14 &amp; "+2d6" &amp; IF($I$14 = 0,"","+" &amp; $I$14 &amp; "d" &amp; $K$14)</f>
        <v>35+2d6+5d12</v>
      </c>
      <c r="E25" s="361" t="str">
        <f>$L$14 &amp; "+2d6" &amp; IF($I$14 = 0,"","+" &amp; $I$14 &amp; "d" &amp; $K$14)</f>
        <v>35+2d6+5d12</v>
      </c>
      <c r="F25" s="361" t="str">
        <f>$L$14+3 &amp; "+2d6" &amp; IF($I$14 = 0,"","+" &amp; $I$14 &amp; "d" &amp; $K$14)</f>
        <v>38+2d6+5d12</v>
      </c>
      <c r="G25" s="363" t="str">
        <f>$L$14+3 &amp; "+2d6" &amp; IF($I$14 = 0,"","+" &amp; $I$14 &amp; "d" &amp; $K$14)</f>
        <v>38+2d6+5d12</v>
      </c>
      <c r="H25" s="287"/>
      <c r="I25" s="287"/>
      <c r="J25" s="287"/>
      <c r="K25" s="287"/>
    </row>
    <row r="26" spans="1:11" ht="18" customHeight="1">
      <c r="A26" s="632"/>
      <c r="B26" s="359" t="s">
        <v>982</v>
      </c>
      <c r="C26" s="360" t="str">
        <f>IF($M$14 = 0,"", $M$14)</f>
        <v>光輝</v>
      </c>
      <c r="D26" s="361" t="str">
        <f>$L$15 &amp; "+2d6" &amp; IF($I$15 = 0,"","+" &amp; $I$15 &amp; "d" &amp; $K$15)</f>
        <v>35+2d6+7d12</v>
      </c>
      <c r="E26" s="361" t="str">
        <f>$L$15 &amp; "+2d6" &amp; IF($I$15 = 0,"","+" &amp; $I$15 &amp; "d" &amp; $K$15)</f>
        <v>35+2d6+7d12</v>
      </c>
      <c r="F26" s="361" t="str">
        <f>$L$15+3 &amp; "+2d6" &amp; IF($I$15 = 0,"","+" &amp; $I$15 &amp; "d" &amp; $K$15)</f>
        <v>38+2d6+7d12</v>
      </c>
      <c r="G26" s="363" t="str">
        <f>$L$15+3 &amp; "+2d6" &amp; IF($I$15 = 0,"","+" &amp; $I$15 &amp; "d" &amp; $K$15)</f>
        <v>38+2d6+7d12</v>
      </c>
      <c r="H26" s="287"/>
      <c r="I26" s="287"/>
      <c r="J26" s="287"/>
      <c r="K26" s="287"/>
    </row>
    <row r="27" spans="1:11" ht="18" customHeight="1" thickBot="1">
      <c r="A27" s="633"/>
      <c r="B27" s="514" t="s">
        <v>981</v>
      </c>
      <c r="C27" s="507" t="str">
        <f>IF($M$14 = 0,"", $M$14)</f>
        <v>光輝</v>
      </c>
      <c r="D27" s="508">
        <f>$M$15+12</f>
        <v>131</v>
      </c>
      <c r="E27" s="508">
        <f>$M$15+12</f>
        <v>131</v>
      </c>
      <c r="F27" s="508">
        <f>$M$15+3+12</f>
        <v>134</v>
      </c>
      <c r="G27" s="509">
        <f>$M$15+3+12</f>
        <v>134</v>
      </c>
      <c r="H27" s="287"/>
      <c r="I27" s="287"/>
      <c r="J27" s="287"/>
      <c r="K27" s="287"/>
    </row>
    <row r="28" spans="1:11" ht="8.25" customHeight="1">
      <c r="A28" s="523"/>
      <c r="B28" s="523"/>
      <c r="C28" s="523"/>
      <c r="D28" s="523"/>
      <c r="E28" s="523"/>
      <c r="F28" s="523"/>
      <c r="G28" s="523"/>
    </row>
    <row r="29" spans="1:11" ht="14.25">
      <c r="A29" s="517" t="s">
        <v>493</v>
      </c>
      <c r="B29" s="517"/>
      <c r="C29" s="517"/>
      <c r="D29" s="517"/>
      <c r="E29" s="517"/>
      <c r="F29" s="517"/>
      <c r="G29" s="517"/>
    </row>
    <row r="30" spans="1:11" ht="14.25">
      <c r="A30" s="517" t="s">
        <v>815</v>
      </c>
      <c r="B30" s="517"/>
      <c r="C30" s="517"/>
      <c r="D30" s="517"/>
      <c r="E30" s="517"/>
      <c r="F30" s="517"/>
      <c r="G30" s="517"/>
      <c r="I30" s="287"/>
      <c r="J30" s="287"/>
      <c r="K30" s="287"/>
    </row>
    <row r="31" spans="1:11" ht="14.25">
      <c r="A31" s="517" t="s">
        <v>147</v>
      </c>
      <c r="B31" s="517"/>
      <c r="C31" s="517"/>
      <c r="D31" s="517"/>
      <c r="E31" s="517"/>
      <c r="F31" s="517"/>
      <c r="G31" s="517"/>
      <c r="I31" s="287"/>
      <c r="J31" s="287"/>
      <c r="K31" s="287"/>
    </row>
    <row r="32" spans="1:11" ht="14.25">
      <c r="A32" s="517" t="s">
        <v>437</v>
      </c>
      <c r="B32" s="517"/>
      <c r="C32" s="517"/>
      <c r="D32" s="517"/>
      <c r="E32" s="517"/>
      <c r="F32" s="517"/>
      <c r="G32" s="517"/>
      <c r="I32" s="287"/>
      <c r="J32" s="287"/>
      <c r="K32" s="287"/>
    </row>
    <row r="33" spans="1:12" ht="13.5" customHeight="1">
      <c r="A33" s="529" t="s">
        <v>506</v>
      </c>
      <c r="B33" s="529"/>
      <c r="C33" s="529"/>
      <c r="D33" s="529"/>
      <c r="E33" s="529"/>
      <c r="F33" s="529"/>
      <c r="G33" s="529"/>
    </row>
    <row r="34" spans="1:12" ht="13.5" customHeight="1">
      <c r="A34" s="525" t="s">
        <v>507</v>
      </c>
      <c r="B34" s="525"/>
      <c r="C34" s="525"/>
      <c r="D34" s="525"/>
      <c r="E34" s="525"/>
      <c r="F34" s="525"/>
      <c r="G34" s="525"/>
    </row>
    <row r="35" spans="1:12" ht="14.25">
      <c r="A35" s="517" t="s">
        <v>973</v>
      </c>
      <c r="B35" s="517"/>
      <c r="C35" s="517"/>
      <c r="D35" s="517"/>
      <c r="E35" s="517"/>
      <c r="F35" s="517"/>
      <c r="G35" s="517"/>
      <c r="I35" s="287"/>
      <c r="J35" s="287"/>
      <c r="K35" s="287"/>
    </row>
    <row r="36" spans="1:12" ht="13.5" customHeight="1">
      <c r="A36" s="529" t="s">
        <v>440</v>
      </c>
      <c r="B36" s="529"/>
      <c r="C36" s="529"/>
      <c r="D36" s="529"/>
      <c r="E36" s="529"/>
      <c r="F36" s="529"/>
      <c r="G36" s="529"/>
    </row>
    <row r="37" spans="1:12" ht="13.5" customHeight="1">
      <c r="A37" s="525" t="s">
        <v>441</v>
      </c>
      <c r="B37" s="525"/>
      <c r="C37" s="525"/>
      <c r="D37" s="525"/>
      <c r="E37" s="525"/>
      <c r="F37" s="525"/>
      <c r="G37" s="525"/>
    </row>
    <row r="38" spans="1:12" ht="13.5" customHeight="1">
      <c r="A38" s="525" t="s">
        <v>442</v>
      </c>
      <c r="B38" s="525"/>
      <c r="C38" s="525"/>
      <c r="D38" s="525"/>
      <c r="E38" s="525"/>
      <c r="F38" s="525"/>
      <c r="G38" s="525"/>
    </row>
    <row r="39" spans="1:12" ht="8.25" customHeight="1">
      <c r="A39" s="604"/>
      <c r="B39" s="604"/>
      <c r="C39" s="604"/>
      <c r="D39" s="604"/>
      <c r="E39" s="604"/>
      <c r="F39" s="604"/>
      <c r="G39" s="604"/>
    </row>
    <row r="40" spans="1:12" ht="13.5" customHeight="1">
      <c r="A40" s="619" t="s">
        <v>48</v>
      </c>
      <c r="B40" s="620"/>
      <c r="C40" s="620"/>
      <c r="D40" s="620"/>
      <c r="E40" s="620"/>
      <c r="F40" s="620"/>
      <c r="G40" s="621"/>
    </row>
    <row r="41" spans="1:12" s="284" customFormat="1" ht="7.5" customHeight="1">
      <c r="A41" s="645"/>
      <c r="B41" s="646"/>
      <c r="C41" s="646"/>
      <c r="D41" s="646"/>
      <c r="E41" s="646"/>
      <c r="F41" s="646"/>
      <c r="G41" s="647"/>
      <c r="H41" s="283"/>
      <c r="I41" s="283"/>
      <c r="J41" s="283"/>
      <c r="K41" s="283"/>
    </row>
    <row r="42" spans="1:12" s="288" customFormat="1" ht="13.5" customHeight="1">
      <c r="A42" s="614" t="s">
        <v>914</v>
      </c>
      <c r="B42" s="520"/>
      <c r="C42" s="520"/>
      <c r="D42" s="520"/>
      <c r="E42" s="520"/>
      <c r="F42" s="520"/>
      <c r="G42" s="615"/>
      <c r="L42" s="287"/>
    </row>
    <row r="43" spans="1:12" s="288" customFormat="1" ht="13.5" customHeight="1">
      <c r="A43" s="614" t="s">
        <v>910</v>
      </c>
      <c r="B43" s="520"/>
      <c r="C43" s="520"/>
      <c r="D43" s="520"/>
      <c r="E43" s="520"/>
      <c r="F43" s="520"/>
      <c r="G43" s="615"/>
      <c r="L43" s="287"/>
    </row>
    <row r="44" spans="1:12" s="288" customFormat="1" ht="13.5" customHeight="1">
      <c r="A44" s="614" t="s">
        <v>911</v>
      </c>
      <c r="B44" s="520"/>
      <c r="C44" s="520"/>
      <c r="D44" s="520"/>
      <c r="E44" s="520"/>
      <c r="F44" s="520"/>
      <c r="G44" s="615"/>
      <c r="L44" s="287"/>
    </row>
    <row r="45" spans="1:12" s="288" customFormat="1" ht="7.5" customHeight="1">
      <c r="A45" s="614"/>
      <c r="B45" s="520"/>
      <c r="C45" s="520"/>
      <c r="D45" s="520"/>
      <c r="E45" s="520"/>
      <c r="F45" s="520"/>
      <c r="G45" s="615"/>
      <c r="L45" s="287"/>
    </row>
    <row r="46" spans="1:12" s="288" customFormat="1" ht="13.5" customHeight="1">
      <c r="A46" s="614" t="s">
        <v>915</v>
      </c>
      <c r="B46" s="520"/>
      <c r="C46" s="520"/>
      <c r="D46" s="520"/>
      <c r="E46" s="520"/>
      <c r="F46" s="520"/>
      <c r="G46" s="615"/>
      <c r="L46" s="287"/>
    </row>
    <row r="47" spans="1:12" s="288" customFormat="1" ht="13.5" customHeight="1">
      <c r="A47" s="614" t="s">
        <v>918</v>
      </c>
      <c r="B47" s="520"/>
      <c r="C47" s="520"/>
      <c r="D47" s="520"/>
      <c r="E47" s="520"/>
      <c r="F47" s="520"/>
      <c r="G47" s="615"/>
      <c r="L47" s="287"/>
    </row>
    <row r="48" spans="1:12" s="288" customFormat="1" ht="13.5" customHeight="1">
      <c r="A48" s="614" t="s">
        <v>912</v>
      </c>
      <c r="B48" s="520"/>
      <c r="C48" s="520"/>
      <c r="D48" s="520"/>
      <c r="E48" s="520"/>
      <c r="F48" s="520"/>
      <c r="G48" s="615"/>
      <c r="L48" s="287"/>
    </row>
    <row r="49" spans="1:13" s="288" customFormat="1" ht="13.5" customHeight="1">
      <c r="A49" s="614" t="s">
        <v>922</v>
      </c>
      <c r="B49" s="520"/>
      <c r="C49" s="520"/>
      <c r="D49" s="520"/>
      <c r="E49" s="520"/>
      <c r="F49" s="520"/>
      <c r="G49" s="615"/>
      <c r="L49" s="287"/>
    </row>
    <row r="50" spans="1:13" s="288" customFormat="1" ht="13.5" customHeight="1">
      <c r="A50" s="614" t="s">
        <v>913</v>
      </c>
      <c r="B50" s="520"/>
      <c r="C50" s="520"/>
      <c r="D50" s="520"/>
      <c r="E50" s="520"/>
      <c r="F50" s="520"/>
      <c r="G50" s="615"/>
      <c r="L50" s="287"/>
    </row>
    <row r="51" spans="1:13" s="288" customFormat="1" ht="13.5" customHeight="1">
      <c r="A51" s="614" t="s">
        <v>917</v>
      </c>
      <c r="B51" s="520"/>
      <c r="C51" s="520"/>
      <c r="D51" s="520"/>
      <c r="E51" s="520"/>
      <c r="F51" s="520"/>
      <c r="G51" s="615"/>
      <c r="L51" s="287"/>
    </row>
    <row r="52" spans="1:13" s="288" customFormat="1" ht="7.5" customHeight="1">
      <c r="A52" s="614"/>
      <c r="B52" s="520"/>
      <c r="C52" s="520"/>
      <c r="D52" s="520"/>
      <c r="E52" s="520"/>
      <c r="F52" s="520"/>
      <c r="G52" s="615"/>
      <c r="L52" s="287"/>
    </row>
    <row r="53" spans="1:13" s="288" customFormat="1" ht="13.5" customHeight="1">
      <c r="A53" s="614" t="s">
        <v>920</v>
      </c>
      <c r="B53" s="520"/>
      <c r="C53" s="520"/>
      <c r="D53" s="520"/>
      <c r="E53" s="520"/>
      <c r="F53" s="520"/>
      <c r="G53" s="615"/>
      <c r="L53" s="287"/>
    </row>
    <row r="54" spans="1:13" s="288" customFormat="1" ht="13.5" customHeight="1">
      <c r="A54" s="614" t="s">
        <v>921</v>
      </c>
      <c r="B54" s="520"/>
      <c r="C54" s="520"/>
      <c r="D54" s="520"/>
      <c r="E54" s="520"/>
      <c r="F54" s="520"/>
      <c r="G54" s="615"/>
      <c r="L54" s="287"/>
    </row>
    <row r="55" spans="1:13" s="284" customFormat="1" ht="7.5" customHeight="1">
      <c r="A55" s="645"/>
      <c r="B55" s="646"/>
      <c r="C55" s="646"/>
      <c r="D55" s="646"/>
      <c r="E55" s="646"/>
      <c r="F55" s="646"/>
      <c r="G55" s="647"/>
      <c r="H55" s="283"/>
      <c r="I55" s="283"/>
      <c r="J55" s="283"/>
      <c r="K55" s="283"/>
    </row>
    <row r="56" spans="1:13" s="288" customFormat="1" ht="21">
      <c r="A56" s="119" t="s">
        <v>32</v>
      </c>
      <c r="B56" s="492">
        <f>$B$1</f>
        <v>15</v>
      </c>
      <c r="C56" s="121" t="s">
        <v>39</v>
      </c>
      <c r="D56" s="122" t="str">
        <f>$E$1</f>
        <v>一日毎</v>
      </c>
      <c r="E56" s="725" t="str">
        <f>$B$2</f>
        <v>アイ・オヴ・ドーン</v>
      </c>
      <c r="F56" s="726"/>
      <c r="G56" s="727"/>
      <c r="L56" s="287"/>
      <c r="M56" s="287"/>
    </row>
  </sheetData>
  <mergeCells count="54">
    <mergeCell ref="A55:G55"/>
    <mergeCell ref="E56:G56"/>
    <mergeCell ref="A54:G54"/>
    <mergeCell ref="A42:G42"/>
    <mergeCell ref="A43:G43"/>
    <mergeCell ref="A44:G44"/>
    <mergeCell ref="A45:G45"/>
    <mergeCell ref="A46:G46"/>
    <mergeCell ref="A47:G47"/>
    <mergeCell ref="A48:G48"/>
    <mergeCell ref="A53:G53"/>
    <mergeCell ref="A52:G52"/>
    <mergeCell ref="A49:G49"/>
    <mergeCell ref="A50:G50"/>
    <mergeCell ref="A51:G51"/>
    <mergeCell ref="A37:G37"/>
    <mergeCell ref="A38:G38"/>
    <mergeCell ref="A39:G39"/>
    <mergeCell ref="A40:G40"/>
    <mergeCell ref="A41:G41"/>
    <mergeCell ref="A32:G32"/>
    <mergeCell ref="A33:G33"/>
    <mergeCell ref="A34:G34"/>
    <mergeCell ref="A35:G35"/>
    <mergeCell ref="A36:G36"/>
    <mergeCell ref="B5:G5"/>
    <mergeCell ref="B15:G15"/>
    <mergeCell ref="B6:D6"/>
    <mergeCell ref="B7:D7"/>
    <mergeCell ref="B8:G8"/>
    <mergeCell ref="B9:G9"/>
    <mergeCell ref="B11:G11"/>
    <mergeCell ref="B12:G12"/>
    <mergeCell ref="B13:G13"/>
    <mergeCell ref="B14:G14"/>
    <mergeCell ref="B1:C1"/>
    <mergeCell ref="F1:G1"/>
    <mergeCell ref="B2:G2"/>
    <mergeCell ref="B4:G4"/>
    <mergeCell ref="H4:M4"/>
    <mergeCell ref="J9:K9"/>
    <mergeCell ref="B10:G10"/>
    <mergeCell ref="J11:K11"/>
    <mergeCell ref="B16:G16"/>
    <mergeCell ref="A18:C19"/>
    <mergeCell ref="D18:E18"/>
    <mergeCell ref="F18:G18"/>
    <mergeCell ref="A20:A23"/>
    <mergeCell ref="C20:C23"/>
    <mergeCell ref="A31:G31"/>
    <mergeCell ref="A28:G28"/>
    <mergeCell ref="A29:G29"/>
    <mergeCell ref="A30:G30"/>
    <mergeCell ref="A24:A27"/>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34998626667073579"/>
  </sheetPr>
  <dimension ref="A1:R55"/>
  <sheetViews>
    <sheetView zoomScaleNormal="100" workbookViewId="0">
      <selection activeCell="B2" sqref="B2:G2"/>
    </sheetView>
  </sheetViews>
  <sheetFormatPr defaultRowHeight="13.5"/>
  <cols>
    <col min="1" max="1" width="7.875" style="133" customWidth="1"/>
    <col min="2" max="2" width="8.5" style="133" customWidth="1"/>
    <col min="3" max="3" width="6.625" style="133" customWidth="1"/>
    <col min="4" max="4" width="15.75" style="133" customWidth="1"/>
    <col min="5" max="6" width="15.75" style="88" customWidth="1"/>
    <col min="7" max="7" width="18.25" style="88" customWidth="1"/>
    <col min="8" max="8" width="17.375" style="88" customWidth="1"/>
    <col min="9" max="9" width="14.625" style="88" customWidth="1"/>
    <col min="10" max="10" width="8.375" style="88" customWidth="1"/>
    <col min="11" max="11" width="7.5" style="88" customWidth="1"/>
    <col min="12" max="13" width="7.875" style="133" customWidth="1"/>
    <col min="14" max="14" width="9.25" style="133" customWidth="1"/>
    <col min="15" max="15" width="12.375" style="133" customWidth="1"/>
    <col min="16" max="16384" width="9" style="133"/>
  </cols>
  <sheetData>
    <row r="1" spans="1:18" ht="21">
      <c r="A1" s="116"/>
      <c r="B1" s="725" t="s">
        <v>134</v>
      </c>
      <c r="C1" s="727"/>
      <c r="D1" s="117" t="s">
        <v>39</v>
      </c>
      <c r="E1" s="118" t="s">
        <v>120</v>
      </c>
      <c r="F1" s="736"/>
      <c r="G1" s="737"/>
      <c r="H1" s="93" t="s">
        <v>54</v>
      </c>
    </row>
    <row r="2" spans="1:18" ht="24.75" customHeight="1">
      <c r="A2" s="117" t="s">
        <v>0</v>
      </c>
      <c r="B2" s="738" t="s">
        <v>204</v>
      </c>
      <c r="C2" s="738"/>
      <c r="D2" s="738"/>
      <c r="E2" s="738"/>
      <c r="F2" s="738"/>
      <c r="G2" s="738"/>
      <c r="H2" s="93" t="s">
        <v>55</v>
      </c>
    </row>
    <row r="3" spans="1:18" ht="19.5" customHeight="1">
      <c r="A3" s="99" t="s">
        <v>47</v>
      </c>
      <c r="B3" s="88"/>
      <c r="C3" s="88"/>
      <c r="D3" s="88"/>
      <c r="I3" s="93"/>
    </row>
    <row r="4" spans="1:18">
      <c r="A4" s="72" t="s">
        <v>45</v>
      </c>
      <c r="B4" s="628" t="s">
        <v>205</v>
      </c>
      <c r="C4" s="629"/>
      <c r="D4" s="629"/>
      <c r="E4" s="629"/>
      <c r="F4" s="629"/>
      <c r="G4" s="630"/>
      <c r="H4" s="539" t="s">
        <v>339</v>
      </c>
      <c r="I4" s="540"/>
      <c r="J4" s="540"/>
      <c r="K4" s="540"/>
      <c r="L4" s="541"/>
      <c r="M4" s="287"/>
      <c r="N4" s="539" t="s">
        <v>338</v>
      </c>
      <c r="O4" s="540"/>
      <c r="P4" s="540"/>
      <c r="Q4" s="540"/>
      <c r="R4" s="541"/>
    </row>
    <row r="5" spans="1:18">
      <c r="A5" s="73" t="s">
        <v>38</v>
      </c>
      <c r="B5" s="628" t="s">
        <v>206</v>
      </c>
      <c r="C5" s="629"/>
      <c r="D5" s="629"/>
      <c r="E5" s="629"/>
      <c r="F5" s="629"/>
      <c r="G5" s="630"/>
      <c r="H5" s="155" t="s">
        <v>42</v>
      </c>
      <c r="I5" s="157" t="s">
        <v>70</v>
      </c>
      <c r="J5" s="157">
        <v>10</v>
      </c>
      <c r="M5" s="287"/>
      <c r="N5" s="337" t="s">
        <v>42</v>
      </c>
      <c r="O5" s="335" t="s">
        <v>68</v>
      </c>
      <c r="P5" s="335">
        <v>1</v>
      </c>
      <c r="Q5" s="288"/>
      <c r="R5" s="287"/>
    </row>
    <row r="6" spans="1:18">
      <c r="A6" s="73" t="s">
        <v>7</v>
      </c>
      <c r="B6" s="628" t="s">
        <v>126</v>
      </c>
      <c r="C6" s="629"/>
      <c r="D6" s="630"/>
      <c r="E6" s="155" t="s">
        <v>42</v>
      </c>
      <c r="F6" s="195" t="str">
        <f>$I$5</f>
        <v>遠隔</v>
      </c>
      <c r="G6" s="195">
        <f>IF($J$5 = 0,"", $J$5)</f>
        <v>10</v>
      </c>
      <c r="H6" s="155" t="s">
        <v>65</v>
      </c>
      <c r="I6" s="157"/>
      <c r="J6" s="157"/>
      <c r="M6" s="287"/>
      <c r="N6" s="337" t="s">
        <v>65</v>
      </c>
      <c r="O6" s="335"/>
      <c r="P6" s="335"/>
      <c r="Q6" s="288"/>
      <c r="R6" s="287"/>
    </row>
    <row r="7" spans="1:18">
      <c r="A7" s="123" t="s">
        <v>6</v>
      </c>
      <c r="B7" s="760"/>
      <c r="C7" s="761"/>
      <c r="D7" s="762"/>
      <c r="E7" s="155" t="s">
        <v>65</v>
      </c>
      <c r="F7" s="154" t="str">
        <f>IF($I$6 = 0,"", $I$6)</f>
        <v/>
      </c>
      <c r="G7" s="154" t="str">
        <f>IF($J$6 = 0,"", $J$6)</f>
        <v/>
      </c>
      <c r="H7" s="155" t="s">
        <v>84</v>
      </c>
      <c r="I7" s="157" t="s">
        <v>112</v>
      </c>
      <c r="J7" s="93" t="s">
        <v>61</v>
      </c>
      <c r="L7" s="230" t="s">
        <v>343</v>
      </c>
      <c r="M7" s="287"/>
      <c r="N7" s="337" t="s">
        <v>84</v>
      </c>
      <c r="O7" s="335" t="s">
        <v>321</v>
      </c>
      <c r="P7" s="244" t="s">
        <v>61</v>
      </c>
      <c r="Q7" s="288"/>
      <c r="R7" s="230" t="s">
        <v>343</v>
      </c>
    </row>
    <row r="8" spans="1:18">
      <c r="A8" s="160" t="s">
        <v>60</v>
      </c>
      <c r="B8" s="642" t="s">
        <v>490</v>
      </c>
      <c r="C8" s="643"/>
      <c r="D8" s="643"/>
      <c r="E8" s="643"/>
      <c r="F8" s="643"/>
      <c r="G8" s="644"/>
      <c r="H8" s="155" t="s">
        <v>50</v>
      </c>
      <c r="I8" s="157" t="s">
        <v>139</v>
      </c>
      <c r="J8" s="154">
        <f>IF($I$8 = "筋力",基本!$C$5,IF($I$8 = "耐久力",基本!$C$6,IF($I$8 = "敏捷力",基本!$C$7,IF($I$8 = "知力",基本!$C$8,IF($I$8 = "判断力",基本!$C$9,IF($I$8 = "判断力",基本!$C$10,""))))))</f>
        <v>7</v>
      </c>
      <c r="K8" s="157" t="s">
        <v>20</v>
      </c>
      <c r="L8" s="229">
        <f>$J$8+$L$9+$I$9</f>
        <v>27</v>
      </c>
      <c r="M8" s="287"/>
      <c r="N8" s="337" t="s">
        <v>50</v>
      </c>
      <c r="O8" s="335" t="s">
        <v>12</v>
      </c>
      <c r="P8" s="336">
        <f>IF($O$8 = "筋力",基本!$C$5,IF($O$8 = "耐久力",基本!$C$6,IF($O$8 = "敏捷力",基本!$C$7,IF($O$8 = "知力",基本!$C$8,IF($O$8 = "判断力",基本!$C$29,IF($O$8 = "判断力",基本!$C$10,""))))))</f>
        <v>0</v>
      </c>
      <c r="Q8" s="335" t="s">
        <v>91</v>
      </c>
      <c r="R8" s="229">
        <f>$P$8+$O$9+$R$9</f>
        <v>0</v>
      </c>
    </row>
    <row r="9" spans="1:18">
      <c r="A9" s="76"/>
      <c r="B9" s="645" t="s">
        <v>491</v>
      </c>
      <c r="C9" s="646"/>
      <c r="D9" s="646"/>
      <c r="E9" s="646"/>
      <c r="F9" s="646"/>
      <c r="G9" s="647"/>
      <c r="H9" s="155" t="s">
        <v>57</v>
      </c>
      <c r="I9" s="157">
        <v>5</v>
      </c>
      <c r="J9" s="539" t="s">
        <v>52</v>
      </c>
      <c r="K9" s="541"/>
      <c r="L9" s="154">
        <f>IF($I$7=基本!$F$4,基本!$O$7,IF($I$7=基本!$F$13,基本!$O$16,IF($I$7=基本!$F$22,基本!$O$25,IF($I$7=基本!$F$31,基本!$O$34,IF($I$7=基本!$F$40,基本!$O$43,0)))))</f>
        <v>15</v>
      </c>
      <c r="M9" s="287"/>
      <c r="N9" s="337" t="s">
        <v>57</v>
      </c>
      <c r="O9" s="335">
        <v>0</v>
      </c>
      <c r="P9" s="539" t="s">
        <v>52</v>
      </c>
      <c r="Q9" s="541"/>
      <c r="R9" s="336">
        <f>IF($O$7=基本!$F$4,基本!$P$7,IF($O$7=基本!$F$13,基本!$P$16,IF($O$7=基本!$F$22,基本!$P$25,IF($O$7=基本!$F$31,基本!$P$34,IF($O$7=基本!$F$40,基本!$P$43,0)))))</f>
        <v>0</v>
      </c>
    </row>
    <row r="10" spans="1:18">
      <c r="A10" s="264"/>
      <c r="B10" s="299" t="s">
        <v>325</v>
      </c>
      <c r="C10" s="300"/>
      <c r="D10" s="300"/>
      <c r="E10" s="300"/>
      <c r="F10" s="300"/>
      <c r="G10" s="302"/>
      <c r="H10" s="158" t="s">
        <v>51</v>
      </c>
      <c r="I10" s="157" t="s">
        <v>139</v>
      </c>
      <c r="J10" s="97">
        <f>IF($I$10 = "筋力",基本!$C$5,IF($I$10 = "耐久力",基本!$C$6,IF($I$10 = "敏捷力",基本!$C$7,IF($I$10 = "知力",基本!$C$8,IF($I$10 = "判断力",基本!$C$9,IF($I$10 = "判断力",基本!$C$10,""))))))</f>
        <v>7</v>
      </c>
      <c r="K10" s="513" t="s">
        <v>15</v>
      </c>
      <c r="L10" s="512">
        <f>IF(K10="",0,VLOOKUP(K10,基本!$A$5:'基本'!$C$10,3,FALSE))</f>
        <v>3</v>
      </c>
      <c r="M10" s="287"/>
      <c r="N10" s="338" t="s">
        <v>51</v>
      </c>
      <c r="O10" s="335" t="s">
        <v>12</v>
      </c>
      <c r="P10" s="249">
        <f>IF($O$10 = "筋力",基本!$C$5,IF($O$10 = "耐久力",基本!$C$6,IF($O$10 = "敏捷力",基本!$C$7,IF($O$10 = "知力",基本!$C$8,IF($O$10 = "判断力",基本!$C$29,IF($O$10 = "判断力",基本!$C$10,""))))))</f>
        <v>0</v>
      </c>
      <c r="Q10" s="288"/>
      <c r="R10" s="288"/>
    </row>
    <row r="11" spans="1:18">
      <c r="A11" s="274"/>
      <c r="B11" s="296" t="s">
        <v>292</v>
      </c>
      <c r="C11" s="297"/>
      <c r="D11" s="297"/>
      <c r="E11" s="297"/>
      <c r="F11" s="297"/>
      <c r="G11" s="298"/>
      <c r="H11" s="155" t="s">
        <v>58</v>
      </c>
      <c r="I11" s="157">
        <v>0</v>
      </c>
      <c r="J11" s="539" t="s">
        <v>53</v>
      </c>
      <c r="K11" s="541"/>
      <c r="L11" s="154">
        <f>IF($I$7=基本!$F$4,基本!$O$9,IF($I$7=基本!$F$13,基本!$O$18,IF($I$7=基本!$F$22,基本!$O$27,IF($I$7=基本!$F$31,基本!$O$36,IF($I$7=基本!$F$40,基本!$O$45,0)))))</f>
        <v>4</v>
      </c>
      <c r="M11" s="287"/>
      <c r="N11" s="337" t="s">
        <v>58</v>
      </c>
      <c r="O11" s="335">
        <v>0</v>
      </c>
      <c r="P11" s="539" t="s">
        <v>53</v>
      </c>
      <c r="Q11" s="541"/>
      <c r="R11" s="336">
        <f>IF($O$7=基本!$F$4,基本!$P$9,IF($O$7=基本!$F$13,基本!$P$18,IF($O$7=基本!$F$22,基本!$P$27,IF($O$7=基本!$F$31,基本!$P$36,IF($O$7=基本!$F$40,基本!$P$45,0)))))</f>
        <v>0</v>
      </c>
    </row>
    <row r="12" spans="1:18" ht="13.5" customHeight="1">
      <c r="A12" s="274"/>
      <c r="B12" s="296" t="s">
        <v>293</v>
      </c>
      <c r="C12" s="297"/>
      <c r="D12" s="297"/>
      <c r="E12" s="297"/>
      <c r="F12" s="297"/>
      <c r="G12" s="298"/>
      <c r="L12" s="230" t="s">
        <v>343</v>
      </c>
      <c r="M12" s="287"/>
      <c r="N12" s="339" t="s">
        <v>340</v>
      </c>
      <c r="O12" s="335">
        <v>1</v>
      </c>
      <c r="P12" s="287"/>
      <c r="Q12" s="287"/>
      <c r="R12" s="230" t="s">
        <v>343</v>
      </c>
    </row>
    <row r="13" spans="1:18" ht="13.5" customHeight="1">
      <c r="A13" s="274"/>
      <c r="B13" s="296" t="s">
        <v>294</v>
      </c>
      <c r="C13" s="297"/>
      <c r="D13" s="297"/>
      <c r="E13" s="297"/>
      <c r="F13" s="297"/>
      <c r="G13" s="298"/>
      <c r="H13" s="219" t="s">
        <v>85</v>
      </c>
      <c r="I13" s="157">
        <v>1</v>
      </c>
      <c r="J13" s="155" t="s">
        <v>43</v>
      </c>
      <c r="K13" s="157">
        <v>6</v>
      </c>
      <c r="L13" s="229">
        <f>$J$10+$L$11+$I$11</f>
        <v>11</v>
      </c>
      <c r="M13" s="287"/>
      <c r="N13" s="339" t="s">
        <v>85</v>
      </c>
      <c r="O13" s="245">
        <f>IF($O$7=基本!$F$4,基本!$F$9,IF($O$7=基本!$F$13,基本!$F$18,IF($O$7=基本!$F$22,基本!$F$27,IF($O$7=基本!$F$31,基本!$F$36,IF($O$7=基本!$F$40,基本!$F$45,0)))))*$O$12</f>
        <v>1</v>
      </c>
      <c r="P13" s="337" t="s">
        <v>43</v>
      </c>
      <c r="Q13" s="245">
        <f>IF($O$7=基本!$F$4,基本!$H$9,IF($O$7=基本!$F$13,基本!$H$18,IF($O$7=基本!$F$22,基本!$H$27,IF($O$7=基本!$F$31,基本!$H$36,IF($O$7=基本!$F$40,基本!$H$45,0)))))</f>
        <v>4</v>
      </c>
      <c r="R13" s="229">
        <f>$P$10+$O$11+$R$11</f>
        <v>0</v>
      </c>
    </row>
    <row r="14" spans="1:18" ht="13.5" customHeight="1">
      <c r="A14" s="274"/>
      <c r="B14" s="296" t="s">
        <v>295</v>
      </c>
      <c r="C14" s="297"/>
      <c r="D14" s="297"/>
      <c r="E14" s="297"/>
      <c r="F14" s="297"/>
      <c r="G14" s="298"/>
      <c r="H14" s="155" t="s">
        <v>49</v>
      </c>
      <c r="I14" s="32">
        <f>IF($I$7=基本!$F$4,基本!$L$11,IF($I$7=基本!$F$13,基本!$L$20,IF($I$7=基本!$F$22,基本!$L$29,IF($I$7=基本!$F$31,基本!$L$38,IF($I$7=基本!$F$40,基本!$L$47,0)))))</f>
        <v>5</v>
      </c>
      <c r="J14" s="219" t="s">
        <v>341</v>
      </c>
      <c r="K14" s="32">
        <f>IF($I$7=基本!$F$4,基本!$N$11,IF($I$7=基本!$F$13,基本!$N$20,IF($I$7=基本!$F$22,基本!$N$29,IF($I$7=基本!$F$31,基本!$N$38,IF($I$7=基本!$F$40,基本!$N$47,0)))))</f>
        <v>12</v>
      </c>
      <c r="L14" s="229">
        <f>$J$10+$L$11+$I$11+($I$13*$K$13)</f>
        <v>17</v>
      </c>
      <c r="M14" s="287"/>
      <c r="N14" s="337" t="s">
        <v>49</v>
      </c>
      <c r="O14" s="245">
        <f>IF($O$7=基本!$F$4,基本!$L$11,IF($O$7=基本!$F$13,基本!$L$20,IF($O$7=基本!$F$22,基本!$L$29,IF($O$7=基本!$F$31,基本!$L$38,IF($O$7=基本!$F$40,基本!$L$47,0)))))</f>
        <v>5</v>
      </c>
      <c r="P14" s="337" t="s">
        <v>43</v>
      </c>
      <c r="Q14" s="245">
        <f>IF($O$7=基本!$F$4,基本!$N$11,IF($O$7=基本!$F$13,基本!$N$20,IF($O$7=基本!$F$22,基本!$N$29,IF($O$7=基本!$F$31,基本!$N$38,IF($O$7=基本!$F$40,基本!$N$47,0)))))</f>
        <v>12</v>
      </c>
      <c r="R14" s="229">
        <f>$P$10+$R$11+$O$11+($O$13*$Q$13)</f>
        <v>4</v>
      </c>
    </row>
    <row r="15" spans="1:18" ht="13.5" customHeight="1">
      <c r="A15" s="274"/>
      <c r="B15" s="343" t="s">
        <v>595</v>
      </c>
      <c r="C15" s="297"/>
      <c r="D15" s="297"/>
      <c r="E15" s="297"/>
      <c r="F15" s="297"/>
      <c r="G15" s="298"/>
      <c r="H15" s="155" t="s">
        <v>59</v>
      </c>
      <c r="I15" s="157" t="s">
        <v>67</v>
      </c>
      <c r="J15" s="219" t="s">
        <v>342</v>
      </c>
      <c r="K15" s="220" t="s">
        <v>15</v>
      </c>
      <c r="L15" s="218">
        <f>IF(K15="",0,VLOOKUP(K15,基本!$A$5:'基本'!$C$10,3,FALSE))</f>
        <v>3</v>
      </c>
      <c r="M15" s="287"/>
      <c r="N15" s="337" t="s">
        <v>59</v>
      </c>
      <c r="O15" s="335"/>
      <c r="P15" s="337" t="s">
        <v>342</v>
      </c>
      <c r="Q15" s="335" t="s">
        <v>15</v>
      </c>
      <c r="R15" s="336">
        <f>IF(Q15="",0,VLOOKUP(Q15,基本!$A$5:'基本'!$C$10,3,FALSE))</f>
        <v>3</v>
      </c>
    </row>
    <row r="16" spans="1:18" ht="13.5" customHeight="1">
      <c r="A16" s="274"/>
      <c r="B16" s="296" t="s">
        <v>296</v>
      </c>
      <c r="C16" s="297"/>
      <c r="D16" s="297"/>
      <c r="E16" s="297"/>
      <c r="F16" s="297"/>
      <c r="G16" s="298"/>
      <c r="H16" s="155" t="s">
        <v>207</v>
      </c>
      <c r="I16" s="157">
        <f>基本!$B$3</f>
        <v>17</v>
      </c>
    </row>
    <row r="17" spans="1:13" ht="13.5" customHeight="1">
      <c r="A17" s="274"/>
      <c r="B17" s="645" t="s">
        <v>297</v>
      </c>
      <c r="C17" s="646"/>
      <c r="D17" s="646"/>
      <c r="E17" s="646"/>
      <c r="F17" s="646"/>
      <c r="G17" s="647"/>
    </row>
    <row r="18" spans="1:13" ht="13.5" customHeight="1">
      <c r="A18" s="274"/>
      <c r="B18" s="645" t="s">
        <v>298</v>
      </c>
      <c r="C18" s="646"/>
      <c r="D18" s="646"/>
      <c r="E18" s="646"/>
      <c r="F18" s="646"/>
      <c r="G18" s="647"/>
    </row>
    <row r="19" spans="1:13" ht="13.5" customHeight="1">
      <c r="A19" s="274"/>
      <c r="B19" s="645" t="s">
        <v>299</v>
      </c>
      <c r="C19" s="646"/>
      <c r="D19" s="646"/>
      <c r="E19" s="646"/>
      <c r="F19" s="646"/>
      <c r="G19" s="647"/>
    </row>
    <row r="20" spans="1:13" ht="13.5" customHeight="1">
      <c r="A20" s="274"/>
      <c r="B20" s="645" t="s">
        <v>300</v>
      </c>
      <c r="C20" s="646"/>
      <c r="D20" s="646"/>
      <c r="E20" s="646"/>
      <c r="F20" s="646"/>
      <c r="G20" s="647"/>
    </row>
    <row r="21" spans="1:13" ht="14.25" customHeight="1">
      <c r="A21" s="274"/>
      <c r="B21" s="645" t="s">
        <v>301</v>
      </c>
      <c r="C21" s="646"/>
      <c r="D21" s="646"/>
      <c r="E21" s="646"/>
      <c r="F21" s="646"/>
      <c r="G21" s="647"/>
    </row>
    <row r="22" spans="1:13" ht="13.5" customHeight="1">
      <c r="A22" s="274"/>
      <c r="B22" s="645" t="s">
        <v>302</v>
      </c>
      <c r="C22" s="646"/>
      <c r="D22" s="646"/>
      <c r="E22" s="646"/>
      <c r="F22" s="646"/>
      <c r="G22" s="647"/>
    </row>
    <row r="23" spans="1:13" ht="13.5" customHeight="1">
      <c r="A23" s="274"/>
      <c r="B23" s="645" t="s">
        <v>303</v>
      </c>
      <c r="C23" s="646"/>
      <c r="D23" s="646"/>
      <c r="E23" s="646"/>
      <c r="F23" s="646"/>
      <c r="G23" s="647"/>
    </row>
    <row r="24" spans="1:13" ht="13.5" customHeight="1">
      <c r="A24" s="274"/>
      <c r="B24" s="645" t="s">
        <v>304</v>
      </c>
      <c r="C24" s="646"/>
      <c r="D24" s="646"/>
      <c r="E24" s="646"/>
      <c r="F24" s="646"/>
      <c r="G24" s="647"/>
    </row>
    <row r="25" spans="1:13" ht="13.5" customHeight="1">
      <c r="A25" s="274"/>
      <c r="B25" s="645" t="s">
        <v>305</v>
      </c>
      <c r="C25" s="646"/>
      <c r="D25" s="646"/>
      <c r="E25" s="646"/>
      <c r="F25" s="646"/>
      <c r="G25" s="647"/>
    </row>
    <row r="26" spans="1:13" ht="13.5" customHeight="1">
      <c r="A26" s="274"/>
      <c r="B26" s="645" t="s">
        <v>306</v>
      </c>
      <c r="C26" s="646"/>
      <c r="D26" s="646"/>
      <c r="E26" s="646"/>
      <c r="F26" s="646"/>
      <c r="G26" s="647"/>
    </row>
    <row r="27" spans="1:13" ht="13.5" customHeight="1">
      <c r="A27" s="264"/>
      <c r="B27" s="651"/>
      <c r="C27" s="652"/>
      <c r="D27" s="652"/>
      <c r="E27" s="652"/>
      <c r="F27" s="652"/>
      <c r="G27" s="712"/>
    </row>
    <row r="28" spans="1:13" ht="14.25" thickBot="1">
      <c r="A28" s="125" t="s">
        <v>171</v>
      </c>
      <c r="B28" s="159"/>
      <c r="C28" s="159"/>
      <c r="D28" s="159"/>
      <c r="E28" s="159"/>
      <c r="F28" s="159"/>
      <c r="G28" s="159"/>
      <c r="H28" s="133"/>
      <c r="I28" s="133"/>
      <c r="J28" s="133"/>
      <c r="K28" s="133"/>
    </row>
    <row r="29" spans="1:13" ht="21.75" thickBot="1">
      <c r="A29" s="161" t="s">
        <v>172</v>
      </c>
      <c r="B29" s="741" t="s">
        <v>208</v>
      </c>
      <c r="C29" s="742"/>
      <c r="D29" s="742"/>
      <c r="E29" s="742"/>
      <c r="F29" s="742"/>
      <c r="G29" s="743"/>
      <c r="H29" s="133"/>
      <c r="I29" s="133"/>
      <c r="J29" s="133"/>
      <c r="K29" s="133"/>
    </row>
    <row r="30" spans="1:13" ht="21" customHeight="1">
      <c r="A30" s="744" t="s">
        <v>173</v>
      </c>
      <c r="B30" s="745"/>
      <c r="C30" s="746"/>
      <c r="D30" s="162" t="s">
        <v>174</v>
      </c>
      <c r="E30" s="163" t="s">
        <v>175</v>
      </c>
      <c r="F30" s="163" t="s">
        <v>176</v>
      </c>
      <c r="G30" s="164" t="s">
        <v>177</v>
      </c>
      <c r="H30" s="165" t="s">
        <v>173</v>
      </c>
      <c r="I30" s="166" t="s">
        <v>174</v>
      </c>
      <c r="J30" s="166" t="s">
        <v>175</v>
      </c>
      <c r="K30" s="166" t="s">
        <v>176</v>
      </c>
      <c r="L30" s="166" t="s">
        <v>177</v>
      </c>
      <c r="M30" s="227"/>
    </row>
    <row r="31" spans="1:13" ht="23.25" customHeight="1" thickBot="1">
      <c r="A31" s="747">
        <f>基本!B13+$H$31</f>
        <v>45</v>
      </c>
      <c r="B31" s="748"/>
      <c r="C31" s="749"/>
      <c r="D31" s="167">
        <f>基本!$B$16+$I$31</f>
        <v>30</v>
      </c>
      <c r="E31" s="168">
        <f>基本!$B$17+$J$31</f>
        <v>29</v>
      </c>
      <c r="F31" s="168">
        <f>基本!$B$18+$K$31</f>
        <v>29</v>
      </c>
      <c r="G31" s="169">
        <f>基本!$B$19+$L$31</f>
        <v>36</v>
      </c>
      <c r="H31" s="170">
        <v>0</v>
      </c>
      <c r="I31" s="156">
        <v>0</v>
      </c>
      <c r="J31" s="156">
        <v>0</v>
      </c>
      <c r="K31" s="156">
        <v>0</v>
      </c>
      <c r="L31" s="156">
        <v>0</v>
      </c>
      <c r="M31" s="228"/>
    </row>
    <row r="32" spans="1:13" ht="14.25" thickBot="1">
      <c r="A32" s="125" t="s">
        <v>179</v>
      </c>
      <c r="E32" s="89"/>
    </row>
    <row r="33" spans="1:11" s="287" customFormat="1" ht="13.5" customHeight="1">
      <c r="A33" s="728" t="str">
        <f>$B$29</f>
        <v>フレイム・ゼファー</v>
      </c>
      <c r="B33" s="729"/>
      <c r="C33" s="730"/>
      <c r="D33" s="662" t="s">
        <v>2</v>
      </c>
      <c r="E33" s="663"/>
      <c r="F33" s="758" t="s">
        <v>553</v>
      </c>
      <c r="G33" s="759"/>
    </row>
    <row r="34" spans="1:11" s="287" customFormat="1" ht="17.25" customHeight="1" thickBot="1">
      <c r="A34" s="731"/>
      <c r="B34" s="732"/>
      <c r="C34" s="733"/>
      <c r="D34" s="312" t="s">
        <v>2</v>
      </c>
      <c r="E34" s="313" t="s">
        <v>1</v>
      </c>
      <c r="F34" s="344" t="s">
        <v>2</v>
      </c>
      <c r="G34" s="314" t="s">
        <v>1</v>
      </c>
    </row>
    <row r="35" spans="1:11" s="287" customFormat="1" ht="20.25" customHeight="1">
      <c r="A35" s="750" t="s">
        <v>554</v>
      </c>
      <c r="B35" s="171" t="s">
        <v>555</v>
      </c>
      <c r="C35" s="345" t="str">
        <f>$K$8</f>
        <v>反応</v>
      </c>
      <c r="D35" s="316" t="str">
        <f>$I$16+$I$9 &amp; "+1d20"</f>
        <v>22+1d20</v>
      </c>
      <c r="E35" s="317" t="str">
        <f>$I$16+$I$9+2 &amp; "+1d20"</f>
        <v>24+1d20</v>
      </c>
      <c r="F35" s="346" t="str">
        <f>3+$I$16+$I$9 &amp; "+1d20"</f>
        <v>25+1d20</v>
      </c>
      <c r="G35" s="347" t="str">
        <f>3+$I$16+$I$9+2 &amp; "+1d20"</f>
        <v>27+1d20</v>
      </c>
    </row>
    <row r="36" spans="1:11" s="287" customFormat="1" ht="20.25" customHeight="1">
      <c r="A36" s="751"/>
      <c r="B36" s="257" t="s">
        <v>556</v>
      </c>
      <c r="C36" s="267" t="str">
        <f t="shared" ref="C36:C37" si="0">IF($I$15 = 0,"", $I$15)</f>
        <v>火</v>
      </c>
      <c r="D36" s="277" t="str">
        <f>$J$8 &amp; "+" &amp; $I$13 &amp; "d" &amp; $K$13</f>
        <v>7+1d6</v>
      </c>
      <c r="E36" s="322" t="str">
        <f>$J$8 &amp; "+" &amp; $I$13 &amp; "d" &amp; $K$13</f>
        <v>7+1d6</v>
      </c>
      <c r="F36" s="277" t="str">
        <f>$J$8 &amp; "+" &amp; $I$13 &amp; "d" &amp; $K$13</f>
        <v>7+1d6</v>
      </c>
      <c r="G36" s="278" t="str">
        <f>$J$8 &amp; "+" &amp; $I$13 &amp; "d" &amp; $K$13</f>
        <v>7+1d6</v>
      </c>
    </row>
    <row r="37" spans="1:11" s="287" customFormat="1" ht="20.25" customHeight="1" thickBot="1">
      <c r="A37" s="752"/>
      <c r="B37" s="247" t="s">
        <v>557</v>
      </c>
      <c r="C37" s="258" t="str">
        <f t="shared" si="0"/>
        <v>火</v>
      </c>
      <c r="D37" s="276">
        <f>$J$8+$I$13*$K$13</f>
        <v>13</v>
      </c>
      <c r="E37" s="276">
        <f>$J$8+$I$13*$K$13</f>
        <v>13</v>
      </c>
      <c r="F37" s="276">
        <f>$J$8+$I$13*$K$13</f>
        <v>13</v>
      </c>
      <c r="G37" s="275">
        <f>$J$8+$I$13*$K$13</f>
        <v>13</v>
      </c>
    </row>
    <row r="38" spans="1:11" s="287" customFormat="1" ht="20.25" customHeight="1">
      <c r="A38" s="753" t="s">
        <v>558</v>
      </c>
      <c r="B38" s="171" t="s">
        <v>181</v>
      </c>
      <c r="C38" s="756" t="s">
        <v>559</v>
      </c>
      <c r="D38" s="316" t="str">
        <f>基本!$I$43+基本!$J$43 &amp; "+1d20"</f>
        <v>8+1d20</v>
      </c>
      <c r="E38" s="316" t="str">
        <f>基本!$I$43+基本!$J$43+2 &amp; "+1d20"</f>
        <v>10+1d20</v>
      </c>
      <c r="F38" s="346" t="str">
        <f>3+基本!$I$43+基本!$J$43 &amp; "+1d20"</f>
        <v>11+1d20</v>
      </c>
      <c r="G38" s="347" t="str">
        <f>3+基本!$I$43+基本!$J$43+2 &amp; "+1d20"</f>
        <v>13+1d20</v>
      </c>
    </row>
    <row r="39" spans="1:11" s="287" customFormat="1" ht="20.25" customHeight="1">
      <c r="A39" s="754"/>
      <c r="B39" s="348" t="s">
        <v>488</v>
      </c>
      <c r="C39" s="757"/>
      <c r="D39" s="349" t="str">
        <f>1+基本!$I$43+基本!$J$43 &amp; "+1d20"</f>
        <v>9+1d20</v>
      </c>
      <c r="E39" s="350" t="str">
        <f>1+基本!$I$43+基本!$J$43+2 &amp; "+1d20"</f>
        <v>11+1d20</v>
      </c>
      <c r="F39" s="351" t="str">
        <f>1+3+基本!$I$43+基本!$J$43 &amp; "+1d20"</f>
        <v>12+1d20</v>
      </c>
      <c r="G39" s="352" t="str">
        <f>1+3+基本!$I$43+基本!$J$43+2 &amp; "+1d20"</f>
        <v>14+1d20</v>
      </c>
    </row>
    <row r="40" spans="1:11" s="287" customFormat="1" ht="20.25" customHeight="1">
      <c r="A40" s="754"/>
      <c r="B40" s="257" t="s">
        <v>556</v>
      </c>
      <c r="C40" s="267"/>
      <c r="D40" s="277" t="str">
        <f>$P$10 &amp; "+" &amp; $O$13 &amp; "d" &amp; $Q$13</f>
        <v>0+1d4</v>
      </c>
      <c r="E40" s="322" t="str">
        <f>$P$10 &amp; "+" &amp; $O$13 &amp; "d" &amp; $Q$13</f>
        <v>0+1d4</v>
      </c>
      <c r="F40" s="277" t="str">
        <f>$P$10 &amp; "+" &amp; $O$13 &amp; "d" &amp; $Q$13</f>
        <v>0+1d4</v>
      </c>
      <c r="G40" s="278" t="str">
        <f>$P$10 &amp; "+" &amp; $O$13 &amp; "d" &amp; $Q$13</f>
        <v>0+1d4</v>
      </c>
    </row>
    <row r="41" spans="1:11" s="287" customFormat="1" ht="20.25" customHeight="1" thickBot="1">
      <c r="A41" s="755"/>
      <c r="B41" s="247" t="s">
        <v>557</v>
      </c>
      <c r="C41" s="258"/>
      <c r="D41" s="323">
        <f>$P$10+$O$13*$Q$13</f>
        <v>4</v>
      </c>
      <c r="E41" s="323">
        <f>$P$10+$O$13*$Q$13</f>
        <v>4</v>
      </c>
      <c r="F41" s="276">
        <f>$P$10+$O$13*$Q$13</f>
        <v>4</v>
      </c>
      <c r="G41" s="275">
        <f>$P$10+$O$13*$Q$13</f>
        <v>4</v>
      </c>
    </row>
    <row r="42" spans="1:11" ht="8.25" customHeight="1">
      <c r="A42" s="523"/>
      <c r="B42" s="523"/>
      <c r="C42" s="523"/>
      <c r="D42" s="523"/>
      <c r="E42" s="523"/>
      <c r="F42" s="523"/>
      <c r="G42" s="523"/>
    </row>
    <row r="43" spans="1:11" ht="18.75" customHeight="1">
      <c r="A43" s="517" t="s">
        <v>166</v>
      </c>
      <c r="B43" s="517"/>
      <c r="C43" s="517"/>
      <c r="D43" s="517"/>
      <c r="E43" s="517"/>
      <c r="F43" s="517"/>
      <c r="G43" s="517"/>
      <c r="I43" s="133"/>
      <c r="J43" s="133"/>
      <c r="K43" s="133"/>
    </row>
    <row r="44" spans="1:11" ht="13.5" customHeight="1">
      <c r="A44" s="529" t="s">
        <v>164</v>
      </c>
      <c r="B44" s="529"/>
      <c r="C44" s="529"/>
      <c r="D44" s="529"/>
      <c r="E44" s="529"/>
      <c r="F44" s="529"/>
      <c r="G44" s="529"/>
    </row>
    <row r="45" spans="1:11" ht="13.5" customHeight="1">
      <c r="A45" s="529" t="s">
        <v>165</v>
      </c>
      <c r="B45" s="529"/>
      <c r="C45" s="529"/>
      <c r="D45" s="529"/>
      <c r="E45" s="529"/>
      <c r="F45" s="529"/>
      <c r="G45" s="529"/>
    </row>
    <row r="46" spans="1:11" ht="8.25" customHeight="1">
      <c r="A46" s="604"/>
      <c r="B46" s="604"/>
      <c r="C46" s="604"/>
      <c r="D46" s="604"/>
      <c r="E46" s="604"/>
      <c r="F46" s="604"/>
      <c r="G46" s="604"/>
    </row>
    <row r="47" spans="1:11" ht="13.5" customHeight="1">
      <c r="A47" s="619" t="s">
        <v>48</v>
      </c>
      <c r="B47" s="620"/>
      <c r="C47" s="620"/>
      <c r="D47" s="620"/>
      <c r="E47" s="620"/>
      <c r="F47" s="620"/>
      <c r="G47" s="621"/>
    </row>
    <row r="48" spans="1:11" s="284" customFormat="1" ht="6" customHeight="1">
      <c r="A48" s="645"/>
      <c r="B48" s="646"/>
      <c r="C48" s="646"/>
      <c r="D48" s="646"/>
      <c r="E48" s="646"/>
      <c r="F48" s="646"/>
      <c r="G48" s="647"/>
      <c r="H48" s="283"/>
      <c r="I48" s="283"/>
      <c r="J48" s="283"/>
      <c r="K48" s="283"/>
    </row>
    <row r="49" spans="1:13" s="284" customFormat="1" ht="13.5" customHeight="1">
      <c r="A49" s="645" t="s">
        <v>596</v>
      </c>
      <c r="B49" s="646"/>
      <c r="C49" s="646"/>
      <c r="D49" s="646"/>
      <c r="E49" s="646"/>
      <c r="F49" s="646"/>
      <c r="G49" s="647"/>
      <c r="H49" s="283"/>
      <c r="I49" s="283"/>
      <c r="J49" s="283"/>
      <c r="K49" s="283"/>
    </row>
    <row r="50" spans="1:13" s="284" customFormat="1" ht="13.5" customHeight="1">
      <c r="A50" s="645" t="s">
        <v>597</v>
      </c>
      <c r="B50" s="646"/>
      <c r="C50" s="646"/>
      <c r="D50" s="646"/>
      <c r="E50" s="646"/>
      <c r="F50" s="646"/>
      <c r="G50" s="647"/>
      <c r="H50" s="283"/>
      <c r="I50" s="283"/>
      <c r="J50" s="283"/>
      <c r="K50" s="283"/>
    </row>
    <row r="51" spans="1:13" s="284" customFormat="1" ht="13.5" customHeight="1">
      <c r="A51" s="645" t="s">
        <v>865</v>
      </c>
      <c r="B51" s="646"/>
      <c r="C51" s="646"/>
      <c r="D51" s="646"/>
      <c r="E51" s="646"/>
      <c r="F51" s="646"/>
      <c r="G51" s="647"/>
      <c r="H51" s="283"/>
      <c r="I51" s="283"/>
      <c r="J51" s="283"/>
      <c r="K51" s="283"/>
    </row>
    <row r="52" spans="1:13" s="284" customFormat="1" ht="13.5" customHeight="1">
      <c r="A52" s="645" t="s">
        <v>866</v>
      </c>
      <c r="B52" s="646"/>
      <c r="C52" s="646"/>
      <c r="D52" s="646"/>
      <c r="E52" s="646"/>
      <c r="F52" s="646"/>
      <c r="G52" s="647"/>
      <c r="H52" s="283"/>
      <c r="I52" s="283"/>
      <c r="J52" s="283"/>
      <c r="K52" s="283"/>
    </row>
    <row r="53" spans="1:13" s="284" customFormat="1" ht="13.5" customHeight="1">
      <c r="A53" s="645" t="s">
        <v>867</v>
      </c>
      <c r="B53" s="646"/>
      <c r="C53" s="646"/>
      <c r="D53" s="646"/>
      <c r="E53" s="646"/>
      <c r="F53" s="646"/>
      <c r="G53" s="647"/>
      <c r="H53" s="283"/>
      <c r="I53" s="283"/>
      <c r="J53" s="283"/>
      <c r="K53" s="283"/>
    </row>
    <row r="54" spans="1:13" s="283" customFormat="1" ht="6" customHeight="1">
      <c r="A54" s="651"/>
      <c r="B54" s="652"/>
      <c r="C54" s="652"/>
      <c r="D54" s="652"/>
      <c r="E54" s="652"/>
      <c r="F54" s="652"/>
      <c r="G54" s="712"/>
      <c r="L54" s="284"/>
      <c r="M54" s="284"/>
    </row>
    <row r="55" spans="1:13" s="88" customFormat="1" ht="21">
      <c r="A55" s="739" t="str">
        <f>$B$1</f>
        <v>テーマパワー</v>
      </c>
      <c r="B55" s="740"/>
      <c r="C55" s="121" t="s">
        <v>39</v>
      </c>
      <c r="D55" s="122" t="str">
        <f>$E$1</f>
        <v>一日毎</v>
      </c>
      <c r="E55" s="725" t="str">
        <f>$B$2</f>
        <v>サモン・フレイム・ゼファー</v>
      </c>
      <c r="F55" s="726"/>
      <c r="G55" s="727"/>
      <c r="L55" s="133"/>
      <c r="M55" s="133"/>
    </row>
  </sheetData>
  <mergeCells count="50">
    <mergeCell ref="N4:R4"/>
    <mergeCell ref="P9:Q9"/>
    <mergeCell ref="P11:Q11"/>
    <mergeCell ref="A33:C34"/>
    <mergeCell ref="D33:E33"/>
    <mergeCell ref="F33:G33"/>
    <mergeCell ref="B20:G20"/>
    <mergeCell ref="B18:G18"/>
    <mergeCell ref="B19:G19"/>
    <mergeCell ref="B17:G17"/>
    <mergeCell ref="J11:K11"/>
    <mergeCell ref="J9:K9"/>
    <mergeCell ref="B6:D6"/>
    <mergeCell ref="B7:D7"/>
    <mergeCell ref="B8:G8"/>
    <mergeCell ref="B9:G9"/>
    <mergeCell ref="C38:C39"/>
    <mergeCell ref="A54:G54"/>
    <mergeCell ref="A48:G48"/>
    <mergeCell ref="A49:G49"/>
    <mergeCell ref="A50:G50"/>
    <mergeCell ref="A51:G51"/>
    <mergeCell ref="A53:G53"/>
    <mergeCell ref="A55:B55"/>
    <mergeCell ref="E55:G55"/>
    <mergeCell ref="B21:G21"/>
    <mergeCell ref="A46:G46"/>
    <mergeCell ref="A47:G47"/>
    <mergeCell ref="A43:G43"/>
    <mergeCell ref="A44:G44"/>
    <mergeCell ref="A45:G45"/>
    <mergeCell ref="A42:G42"/>
    <mergeCell ref="B29:G29"/>
    <mergeCell ref="A30:C30"/>
    <mergeCell ref="A31:C31"/>
    <mergeCell ref="B22:G22"/>
    <mergeCell ref="A52:G52"/>
    <mergeCell ref="A35:A37"/>
    <mergeCell ref="A38:A41"/>
    <mergeCell ref="B1:C1"/>
    <mergeCell ref="F1:G1"/>
    <mergeCell ref="B2:G2"/>
    <mergeCell ref="B4:G4"/>
    <mergeCell ref="B5:G5"/>
    <mergeCell ref="H4:L4"/>
    <mergeCell ref="B23:G23"/>
    <mergeCell ref="B27:G27"/>
    <mergeCell ref="B25:G25"/>
    <mergeCell ref="B24:G24"/>
    <mergeCell ref="B26:G26"/>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legacyDrawing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基本!$D$27:$D$31</xm:f>
          </x14:formula1>
          <xm:sqref>I7</xm:sqref>
        </x14:dataValidation>
        <x14:dataValidation type="list" allowBlank="1" showInputMessage="1" showErrorMessage="1">
          <x14:formula1>
            <xm:f>基本!$A$5:$A$10</xm:f>
          </x14:formula1>
          <xm:sqref>I8 I10 K15</xm:sqref>
        </x14:dataValidation>
        <x14:dataValidation type="list" allowBlank="1" showInputMessage="1" showErrorMessage="1">
          <x14:formula1>
            <xm:f>基本!$A$16:$A$19</xm:f>
          </x14:formula1>
          <xm:sqref>K8</xm:sqref>
        </x14:dataValidation>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 type="list" allowBlank="1" showInputMessage="1" showErrorMessage="1">
          <x14:formula1>
            <xm:f>基本!$C$27:$C$37</xm:f>
          </x14:formula1>
          <xm:sqref>I15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S53"/>
  <sheetViews>
    <sheetView zoomScaleNormal="100" workbookViewId="0">
      <selection activeCell="B2" sqref="B2:G2"/>
    </sheetView>
  </sheetViews>
  <sheetFormatPr defaultRowHeight="13.5"/>
  <cols>
    <col min="1" max="1" width="7.875" style="133" customWidth="1"/>
    <col min="2" max="2" width="8.5" style="133" customWidth="1"/>
    <col min="3" max="3" width="6.625" style="133" customWidth="1"/>
    <col min="4" max="4" width="15.75" style="133" customWidth="1"/>
    <col min="5" max="6" width="15.75" style="88" customWidth="1"/>
    <col min="7" max="7" width="18.25" style="88" customWidth="1"/>
    <col min="8" max="8" width="17.375" style="88" customWidth="1"/>
    <col min="9" max="9" width="14.625" style="88" customWidth="1"/>
    <col min="10" max="10" width="8.375" style="88" customWidth="1"/>
    <col min="11" max="11" width="7.5" style="88" customWidth="1"/>
    <col min="12" max="13" width="7.875" style="133" customWidth="1"/>
    <col min="14" max="14" width="17.875" style="133" bestFit="1" customWidth="1"/>
    <col min="15" max="15" width="12.375" style="133" customWidth="1"/>
    <col min="16" max="16384" width="9" style="133"/>
  </cols>
  <sheetData>
    <row r="1" spans="1:19" ht="21">
      <c r="A1" s="116" t="s">
        <v>32</v>
      </c>
      <c r="B1" s="734">
        <v>9</v>
      </c>
      <c r="C1" s="735"/>
      <c r="D1" s="117" t="s">
        <v>39</v>
      </c>
      <c r="E1" s="118" t="s">
        <v>120</v>
      </c>
      <c r="F1" s="736"/>
      <c r="G1" s="737"/>
      <c r="H1" s="93" t="s">
        <v>54</v>
      </c>
    </row>
    <row r="2" spans="1:19" ht="24.75" customHeight="1">
      <c r="A2" s="117" t="s">
        <v>0</v>
      </c>
      <c r="B2" s="738" t="s">
        <v>495</v>
      </c>
      <c r="C2" s="738"/>
      <c r="D2" s="738"/>
      <c r="E2" s="738"/>
      <c r="F2" s="738"/>
      <c r="G2" s="738"/>
      <c r="H2" s="93" t="s">
        <v>55</v>
      </c>
    </row>
    <row r="3" spans="1:19" ht="19.5" customHeight="1">
      <c r="A3" s="99" t="s">
        <v>47</v>
      </c>
      <c r="B3" s="88"/>
      <c r="C3" s="88"/>
      <c r="D3" s="88"/>
      <c r="I3" s="93"/>
    </row>
    <row r="4" spans="1:19">
      <c r="A4" s="72" t="s">
        <v>45</v>
      </c>
      <c r="B4" s="628" t="s">
        <v>307</v>
      </c>
      <c r="C4" s="629"/>
      <c r="D4" s="629"/>
      <c r="E4" s="629"/>
      <c r="F4" s="629"/>
      <c r="G4" s="630"/>
      <c r="H4" s="539" t="s">
        <v>980</v>
      </c>
      <c r="I4" s="540"/>
      <c r="J4" s="540"/>
      <c r="K4" s="540"/>
      <c r="L4" s="540"/>
      <c r="M4" s="541"/>
      <c r="N4" s="539" t="s">
        <v>980</v>
      </c>
      <c r="O4" s="540"/>
      <c r="P4" s="540"/>
      <c r="Q4" s="540"/>
      <c r="R4" s="540"/>
      <c r="S4" s="541"/>
    </row>
    <row r="5" spans="1:19">
      <c r="A5" s="73" t="s">
        <v>38</v>
      </c>
      <c r="B5" s="628" t="s">
        <v>308</v>
      </c>
      <c r="C5" s="629"/>
      <c r="D5" s="629"/>
      <c r="E5" s="629"/>
      <c r="F5" s="629"/>
      <c r="G5" s="630"/>
      <c r="H5" s="198" t="s">
        <v>42</v>
      </c>
      <c r="I5" s="200" t="s">
        <v>70</v>
      </c>
      <c r="J5" s="200">
        <v>5</v>
      </c>
      <c r="N5" s="209" t="s">
        <v>42</v>
      </c>
      <c r="O5" s="210" t="s">
        <v>68</v>
      </c>
      <c r="P5" s="210">
        <v>1</v>
      </c>
      <c r="Q5" s="88"/>
    </row>
    <row r="6" spans="1:19">
      <c r="A6" s="73" t="s">
        <v>7</v>
      </c>
      <c r="B6" s="628" t="s">
        <v>126</v>
      </c>
      <c r="C6" s="629"/>
      <c r="D6" s="630"/>
      <c r="E6" s="198" t="s">
        <v>42</v>
      </c>
      <c r="F6" s="195" t="str">
        <f>$I$5</f>
        <v>遠隔</v>
      </c>
      <c r="G6" s="195">
        <f>IF($J$5 = 0,"", $J$5)</f>
        <v>5</v>
      </c>
      <c r="H6" s="198" t="s">
        <v>65</v>
      </c>
      <c r="I6" s="200"/>
      <c r="J6" s="200"/>
      <c r="N6" s="209" t="s">
        <v>65</v>
      </c>
      <c r="O6" s="210"/>
      <c r="P6" s="210"/>
      <c r="Q6" s="88"/>
    </row>
    <row r="7" spans="1:19">
      <c r="A7" s="123" t="s">
        <v>6</v>
      </c>
      <c r="B7" s="760"/>
      <c r="C7" s="761"/>
      <c r="D7" s="762"/>
      <c r="E7" s="198" t="s">
        <v>65</v>
      </c>
      <c r="F7" s="199" t="str">
        <f>IF($I$6 = 0,"", $I$6)</f>
        <v/>
      </c>
      <c r="G7" s="199" t="str">
        <f>IF($J$6 = 0,"", $J$6)</f>
        <v/>
      </c>
      <c r="H7" s="198" t="s">
        <v>84</v>
      </c>
      <c r="I7" s="200" t="s">
        <v>112</v>
      </c>
      <c r="J7" s="93" t="s">
        <v>61</v>
      </c>
      <c r="L7" s="230" t="s">
        <v>343</v>
      </c>
      <c r="N7" s="209" t="s">
        <v>84</v>
      </c>
      <c r="O7" s="210" t="s">
        <v>321</v>
      </c>
      <c r="P7" s="93" t="s">
        <v>61</v>
      </c>
      <c r="Q7" s="88"/>
      <c r="R7" s="230" t="s">
        <v>343</v>
      </c>
    </row>
    <row r="8" spans="1:19">
      <c r="A8" s="160" t="s">
        <v>60</v>
      </c>
      <c r="B8" s="642" t="s">
        <v>168</v>
      </c>
      <c r="C8" s="643"/>
      <c r="D8" s="643"/>
      <c r="E8" s="643"/>
      <c r="F8" s="643"/>
      <c r="G8" s="644"/>
      <c r="H8" s="198" t="s">
        <v>50</v>
      </c>
      <c r="I8" s="200" t="s">
        <v>139</v>
      </c>
      <c r="J8" s="199">
        <f>IF($I$8 = "筋力",基本!$C$5,IF($I$8 = "耐久力",基本!$C$6,IF($I$8 = "敏捷力",基本!$C$7,IF($I$8 = "知力",基本!$C$8,IF($I$8 = "判断力",基本!$C$9,IF($I$8 = "判断力",基本!$C$10,""))))))</f>
        <v>7</v>
      </c>
      <c r="K8" s="200" t="s">
        <v>19</v>
      </c>
      <c r="L8" s="229">
        <f>$J$8+$L$9+$I$9</f>
        <v>22</v>
      </c>
      <c r="N8" s="209" t="s">
        <v>50</v>
      </c>
      <c r="O8" s="210" t="s">
        <v>12</v>
      </c>
      <c r="P8" s="208">
        <f>IF($O$8 = "筋力",基本!$C$5,IF($O$8 = "耐久力",基本!$C$6,IF($O$8 = "敏捷力",基本!$C$7,IF($O$8 = "知力",基本!$C$8,IF($O$8 = "判断力",基本!$C$29,IF($O$8 = "判断力",基本!$C$10,""))))))</f>
        <v>0</v>
      </c>
      <c r="Q8" s="210" t="s">
        <v>91</v>
      </c>
      <c r="R8" s="229">
        <f>$P$8+$O$9+$R$9</f>
        <v>0</v>
      </c>
    </row>
    <row r="9" spans="1:19">
      <c r="A9" s="76"/>
      <c r="B9" s="645" t="s">
        <v>309</v>
      </c>
      <c r="C9" s="646"/>
      <c r="D9" s="646"/>
      <c r="E9" s="646"/>
      <c r="F9" s="646"/>
      <c r="G9" s="647"/>
      <c r="H9" s="198" t="s">
        <v>57</v>
      </c>
      <c r="I9" s="200">
        <v>0</v>
      </c>
      <c r="J9" s="539" t="s">
        <v>52</v>
      </c>
      <c r="K9" s="541"/>
      <c r="L9" s="199">
        <f>IF($I$7=基本!$F$4,基本!$O$7,IF($I$7=基本!$F$13,基本!$O$16,IF($I$7=基本!$F$22,基本!$O$25,IF($I$7=基本!$F$31,基本!$O$34,IF($I$7=基本!$F$40,基本!$O$43,0)))))</f>
        <v>15</v>
      </c>
      <c r="N9" s="209" t="s">
        <v>57</v>
      </c>
      <c r="O9" s="210">
        <v>0</v>
      </c>
      <c r="P9" s="539" t="s">
        <v>52</v>
      </c>
      <c r="Q9" s="541"/>
      <c r="R9" s="208">
        <f>IF($O$7=基本!$F$4,基本!$P$7,IF($O$7=基本!$F$13,基本!$P$16,IF($O$7=基本!$F$22,基本!$P$25,IF($O$7=基本!$F$31,基本!$P$34,IF($O$7=基本!$F$40,基本!$P$43,0)))))</f>
        <v>0</v>
      </c>
    </row>
    <row r="10" spans="1:19">
      <c r="A10" s="76"/>
      <c r="B10" s="645" t="s">
        <v>310</v>
      </c>
      <c r="C10" s="646"/>
      <c r="D10" s="646"/>
      <c r="E10" s="646"/>
      <c r="F10" s="646"/>
      <c r="G10" s="647"/>
      <c r="H10" s="196" t="s">
        <v>51</v>
      </c>
      <c r="I10" s="200" t="s">
        <v>139</v>
      </c>
      <c r="J10" s="97">
        <f>IF($I$10 = "筋力",基本!$C$5,IF($I$10 = "耐久力",基本!$C$6,IF($I$10 = "敏捷力",基本!$C$7,IF($I$10 = "知力",基本!$C$8,IF($I$10 = "判断力",基本!$C$9,IF($I$10 = "判断力",基本!$C$10,""))))))</f>
        <v>7</v>
      </c>
      <c r="K10" s="513" t="s">
        <v>15</v>
      </c>
      <c r="L10" s="512">
        <f>IF(K10="",0,VLOOKUP(K10,基本!$A$5:'基本'!$C$10,3,FALSE))</f>
        <v>3</v>
      </c>
      <c r="N10" s="211" t="s">
        <v>51</v>
      </c>
      <c r="O10" s="210" t="s">
        <v>12</v>
      </c>
      <c r="P10" s="97">
        <f>IF($O$10 = "筋力",基本!$C$5,IF($O$10 = "耐久力",基本!$C$6,IF($O$10 = "敏捷力",基本!$C$7,IF($O$10 = "知力",基本!$C$8,IF($O$10 = "判断力",基本!$C$29,IF($O$10 = "判断力",基本!$C$10,""))))))</f>
        <v>0</v>
      </c>
      <c r="Q10" s="88"/>
      <c r="R10" s="88"/>
    </row>
    <row r="11" spans="1:19">
      <c r="A11" s="76"/>
      <c r="B11" s="645" t="s">
        <v>311</v>
      </c>
      <c r="C11" s="646"/>
      <c r="D11" s="646"/>
      <c r="E11" s="646"/>
      <c r="F11" s="646"/>
      <c r="G11" s="647"/>
      <c r="H11" s="198" t="s">
        <v>58</v>
      </c>
      <c r="I11" s="200">
        <v>0</v>
      </c>
      <c r="J11" s="539" t="s">
        <v>53</v>
      </c>
      <c r="K11" s="541"/>
      <c r="L11" s="199">
        <f>IF($I$7=基本!$F$4,基本!$O$9,IF($I$7=基本!$F$13,基本!$O$18,IF($I$7=基本!$F$22,基本!$O$27,IF($I$7=基本!$F$31,基本!$O$36,IF($I$7=基本!$F$40,基本!$O$45,0)))))</f>
        <v>4</v>
      </c>
      <c r="N11" s="209" t="s">
        <v>58</v>
      </c>
      <c r="O11" s="210">
        <v>0</v>
      </c>
      <c r="P11" s="539" t="s">
        <v>53</v>
      </c>
      <c r="Q11" s="541"/>
      <c r="R11" s="208">
        <f>IF($O$7=基本!$F$4,基本!$P$9,IF($O$7=基本!$F$13,基本!$P$18,IF($O$7=基本!$F$22,基本!$P$27,IF($O$7=基本!$F$31,基本!$P$36,IF($O$7=基本!$F$40,基本!$P$45,0)))))</f>
        <v>0</v>
      </c>
    </row>
    <row r="12" spans="1:19" ht="13.5" customHeight="1">
      <c r="A12" s="76"/>
      <c r="B12" s="645" t="s">
        <v>169</v>
      </c>
      <c r="C12" s="646"/>
      <c r="D12" s="646"/>
      <c r="E12" s="646"/>
      <c r="F12" s="646"/>
      <c r="G12" s="647"/>
      <c r="H12" s="288"/>
      <c r="I12" s="288"/>
      <c r="J12" s="287"/>
      <c r="K12" s="287"/>
      <c r="L12" s="230" t="s">
        <v>343</v>
      </c>
      <c r="M12" s="506" t="s">
        <v>59</v>
      </c>
      <c r="N12" s="510" t="s">
        <v>340</v>
      </c>
      <c r="O12" s="513">
        <v>1</v>
      </c>
      <c r="P12" s="287"/>
      <c r="Q12" s="287"/>
      <c r="R12" s="230" t="s">
        <v>343</v>
      </c>
      <c r="S12" s="506" t="s">
        <v>59</v>
      </c>
    </row>
    <row r="13" spans="1:19" ht="13.5" customHeight="1">
      <c r="A13" s="76"/>
      <c r="B13" s="645" t="s">
        <v>312</v>
      </c>
      <c r="C13" s="646"/>
      <c r="D13" s="646"/>
      <c r="E13" s="646"/>
      <c r="F13" s="646"/>
      <c r="G13" s="647"/>
      <c r="H13" s="511" t="s">
        <v>85</v>
      </c>
      <c r="I13" s="513">
        <v>1</v>
      </c>
      <c r="J13" s="511" t="s">
        <v>43</v>
      </c>
      <c r="K13" s="513">
        <v>8</v>
      </c>
      <c r="L13" s="229">
        <f>J10+IF(I13=0,0,L11)+I11</f>
        <v>11</v>
      </c>
      <c r="M13" s="513" t="s">
        <v>73</v>
      </c>
      <c r="N13" s="510" t="s">
        <v>85</v>
      </c>
      <c r="O13" s="245">
        <f>IF($O$7=基本!$F$4,基本!$F$9,IF($O$7=基本!$F$13,基本!$F$18,IF($O$7=基本!$F$22,基本!$F$27,IF($O$7=基本!$F$31,基本!$F$36,IF($O$7=基本!$F$40,基本!$F$45,0)))))*$O$12</f>
        <v>1</v>
      </c>
      <c r="P13" s="511" t="s">
        <v>341</v>
      </c>
      <c r="Q13" s="245">
        <f>IF($O$7=基本!$F$4,基本!$H$9,IF($O$7=基本!$F$13,基本!$H$18,IF($O$7=基本!$F$22,基本!$H$27,IF($O$7=基本!$F$31,基本!$H$36,IF($O$7=基本!$F$40,基本!$H$45,0)))))</f>
        <v>4</v>
      </c>
      <c r="R13" s="229">
        <f>P10+IF(O12=0,0,R11)+O11</f>
        <v>0</v>
      </c>
      <c r="S13" s="513"/>
    </row>
    <row r="14" spans="1:19" ht="13.5" customHeight="1">
      <c r="A14" s="124"/>
      <c r="B14" s="645" t="s">
        <v>313</v>
      </c>
      <c r="C14" s="646"/>
      <c r="D14" s="646"/>
      <c r="E14" s="646"/>
      <c r="F14" s="646"/>
      <c r="G14" s="647"/>
      <c r="H14" s="511" t="s">
        <v>49</v>
      </c>
      <c r="I14" s="245">
        <f>IF($I$7=基本!$F$4,基本!$L$11,IF($I$7=基本!$F$13,基本!$L$20,IF($I$7=基本!$F$22,基本!$L$29,IF($I$7=基本!$F$31,基本!$L$38,IF($I$7=基本!$F$40,基本!$L$47,0)))))</f>
        <v>5</v>
      </c>
      <c r="J14" s="511" t="s">
        <v>43</v>
      </c>
      <c r="K14" s="245">
        <f>IF($I$7=基本!$F$4,基本!$N$11,IF($I$7=基本!$F$13,基本!$N$20,IF($I$7=基本!$F$22,基本!$N$29,IF($I$7=基本!$F$31,基本!$N$38,IF($I$7=基本!$F$40,基本!$N$47,0)))))</f>
        <v>12</v>
      </c>
      <c r="L14" s="229">
        <f>L13+(I13*K13)</f>
        <v>19</v>
      </c>
      <c r="M14" s="513" t="s">
        <v>73</v>
      </c>
      <c r="N14" s="511" t="s">
        <v>49</v>
      </c>
      <c r="O14" s="245">
        <f>IF($O$7=基本!$F$4,基本!$L$11,IF($O$7=基本!$F$13,基本!$L$20,IF($O$7=基本!$F$22,基本!$L$29,IF($O$7=基本!$F$31,基本!$L$38,IF($O$7=基本!$F$40,基本!$L$47,0)))))</f>
        <v>5</v>
      </c>
      <c r="P14" s="511" t="s">
        <v>341</v>
      </c>
      <c r="Q14" s="245">
        <f>IF($O$7=基本!$F$4,基本!$N$11,IF($O$7=基本!$F$13,基本!$N$20,IF($O$7=基本!$F$22,基本!$N$29,IF($O$7=基本!$F$31,基本!$N$38,IF($O$7=基本!$F$40,基本!$N$47,0)))))</f>
        <v>12</v>
      </c>
      <c r="R14" s="229">
        <f>R13+(O13*Q13)</f>
        <v>4</v>
      </c>
      <c r="S14" s="513"/>
    </row>
    <row r="15" spans="1:19" ht="13.5" customHeight="1">
      <c r="A15" s="124"/>
      <c r="B15" s="645" t="s">
        <v>170</v>
      </c>
      <c r="C15" s="646"/>
      <c r="D15" s="646"/>
      <c r="E15" s="646"/>
      <c r="F15" s="646"/>
      <c r="G15" s="647"/>
      <c r="H15" s="511" t="s">
        <v>982</v>
      </c>
      <c r="I15" s="245">
        <f>I14+2</f>
        <v>7</v>
      </c>
      <c r="J15" s="511" t="s">
        <v>43</v>
      </c>
      <c r="K15" s="245">
        <f>IF($I$7=基本!$F$4,基本!$N$11,IF($I$7=基本!$F$13,基本!$N$20,IF($I$7=基本!$F$22,基本!$N$29,IF($I$7=基本!$F$31,基本!$N$38,IF($I$7=基本!$F$40,基本!$N$47,0)))))</f>
        <v>12</v>
      </c>
      <c r="L15" s="229">
        <f>L14</f>
        <v>19</v>
      </c>
      <c r="M15" s="515">
        <f>L15+(I15*K15)</f>
        <v>103</v>
      </c>
      <c r="N15" s="511" t="s">
        <v>982</v>
      </c>
      <c r="O15" s="245">
        <f>O14+2</f>
        <v>7</v>
      </c>
      <c r="P15" s="511" t="s">
        <v>43</v>
      </c>
      <c r="Q15" s="245">
        <f>IF($O$7=基本!$F$4,基本!$N$11,IF($O$7=基本!$F$13,基本!$N$20,IF($O$7=基本!$F$22,基本!$N$29,IF($O$7=基本!$F$31,基本!$N$38,IF($O$7=基本!$F$40,基本!$N$47,0)))))</f>
        <v>12</v>
      </c>
      <c r="R15" s="229">
        <f>R14</f>
        <v>4</v>
      </c>
      <c r="S15" s="515">
        <f>R15+(O15*Q15)</f>
        <v>88</v>
      </c>
    </row>
    <row r="16" spans="1:19" ht="13.5" customHeight="1">
      <c r="A16" s="76"/>
      <c r="B16" s="645" t="s">
        <v>314</v>
      </c>
      <c r="C16" s="646"/>
      <c r="D16" s="646"/>
      <c r="E16" s="646"/>
      <c r="F16" s="646"/>
      <c r="G16" s="647"/>
      <c r="H16" s="287"/>
      <c r="I16" s="287"/>
      <c r="J16" s="287"/>
      <c r="K16" s="287"/>
      <c r="L16" s="287"/>
      <c r="M16" s="287"/>
      <c r="N16" s="287"/>
      <c r="O16" s="287"/>
      <c r="P16" s="287"/>
      <c r="Q16" s="287"/>
      <c r="R16" s="287"/>
      <c r="S16" s="287"/>
    </row>
    <row r="17" spans="1:19" ht="8.25" customHeight="1">
      <c r="A17" s="76"/>
      <c r="B17" s="645"/>
      <c r="C17" s="646"/>
      <c r="D17" s="646"/>
      <c r="E17" s="646"/>
      <c r="F17" s="646"/>
      <c r="G17" s="647"/>
      <c r="H17" s="287"/>
      <c r="I17" s="287"/>
      <c r="J17" s="287"/>
      <c r="K17" s="287"/>
      <c r="L17" s="287"/>
      <c r="M17" s="287"/>
      <c r="N17" s="287"/>
      <c r="O17" s="287"/>
      <c r="P17" s="287"/>
      <c r="Q17" s="287"/>
      <c r="R17" s="287"/>
      <c r="S17" s="287"/>
    </row>
    <row r="18" spans="1:19" ht="8.25" customHeight="1">
      <c r="A18" s="76"/>
      <c r="B18" s="645"/>
      <c r="C18" s="646"/>
      <c r="D18" s="646"/>
      <c r="E18" s="646"/>
      <c r="F18" s="646"/>
      <c r="G18" s="647"/>
      <c r="I18" s="133"/>
      <c r="J18" s="133"/>
      <c r="K18" s="133"/>
    </row>
    <row r="19" spans="1:19" ht="8.25" customHeight="1">
      <c r="A19" s="76"/>
      <c r="B19" s="645"/>
      <c r="C19" s="646"/>
      <c r="D19" s="646"/>
      <c r="E19" s="646"/>
      <c r="F19" s="646"/>
      <c r="G19" s="647"/>
      <c r="I19" s="133"/>
      <c r="J19" s="133"/>
      <c r="K19" s="133"/>
    </row>
    <row r="20" spans="1:19" ht="13.5" customHeight="1">
      <c r="A20" s="77"/>
      <c r="B20" s="651"/>
      <c r="C20" s="652"/>
      <c r="D20" s="652"/>
      <c r="E20" s="652"/>
      <c r="F20" s="652"/>
      <c r="G20" s="712"/>
      <c r="I20" s="133"/>
      <c r="J20" s="133"/>
      <c r="K20" s="133"/>
    </row>
    <row r="21" spans="1:19" ht="14.25" thickBot="1">
      <c r="A21" s="125" t="s">
        <v>171</v>
      </c>
      <c r="B21" s="201"/>
      <c r="C21" s="201"/>
      <c r="D21" s="201"/>
      <c r="E21" s="201"/>
      <c r="F21" s="201"/>
      <c r="G21" s="201"/>
      <c r="H21" s="133"/>
      <c r="I21" s="133"/>
      <c r="J21" s="133"/>
      <c r="K21" s="133"/>
    </row>
    <row r="22" spans="1:19" ht="21.75" thickBot="1">
      <c r="A22" s="161" t="s">
        <v>172</v>
      </c>
      <c r="B22" s="741" t="s">
        <v>496</v>
      </c>
      <c r="C22" s="742"/>
      <c r="D22" s="742"/>
      <c r="E22" s="742"/>
      <c r="F22" s="742"/>
      <c r="G22" s="743"/>
      <c r="H22" s="133"/>
      <c r="I22" s="133"/>
      <c r="J22" s="133"/>
      <c r="K22" s="133"/>
    </row>
    <row r="23" spans="1:19" ht="21" customHeight="1">
      <c r="A23" s="744" t="s">
        <v>173</v>
      </c>
      <c r="B23" s="745"/>
      <c r="C23" s="746"/>
      <c r="D23" s="162" t="s">
        <v>174</v>
      </c>
      <c r="E23" s="163" t="s">
        <v>175</v>
      </c>
      <c r="F23" s="163" t="s">
        <v>176</v>
      </c>
      <c r="G23" s="164" t="s">
        <v>177</v>
      </c>
      <c r="H23" s="165" t="s">
        <v>173</v>
      </c>
      <c r="I23" s="166" t="s">
        <v>174</v>
      </c>
      <c r="J23" s="166" t="s">
        <v>175</v>
      </c>
      <c r="K23" s="166" t="s">
        <v>176</v>
      </c>
      <c r="L23" s="166" t="s">
        <v>177</v>
      </c>
    </row>
    <row r="24" spans="1:19" ht="30" customHeight="1" thickBot="1">
      <c r="A24" s="747">
        <f>基本!B13+$H$24</f>
        <v>45</v>
      </c>
      <c r="B24" s="748"/>
      <c r="C24" s="749"/>
      <c r="D24" s="167">
        <f>基本!$B$16+$I$24</f>
        <v>34</v>
      </c>
      <c r="E24" s="168">
        <f>基本!$B$17+$J$24</f>
        <v>29</v>
      </c>
      <c r="F24" s="168">
        <f>基本!$B$18+$K$24</f>
        <v>29</v>
      </c>
      <c r="G24" s="169">
        <f>基本!$B$19+$L$24</f>
        <v>36</v>
      </c>
      <c r="H24" s="170">
        <v>0</v>
      </c>
      <c r="I24" s="197">
        <v>4</v>
      </c>
      <c r="J24" s="197">
        <v>0</v>
      </c>
      <c r="K24" s="197">
        <v>0</v>
      </c>
      <c r="L24" s="197">
        <v>0</v>
      </c>
    </row>
    <row r="25" spans="1:19" ht="14.25" thickBot="1">
      <c r="A25" s="125" t="s">
        <v>179</v>
      </c>
      <c r="E25" s="89"/>
    </row>
    <row r="26" spans="1:19" s="287" customFormat="1" ht="13.5" customHeight="1">
      <c r="A26" s="766" t="str">
        <f>$B$22</f>
        <v>ブレード・エンジェル</v>
      </c>
      <c r="B26" s="767"/>
      <c r="C26" s="768"/>
      <c r="D26" s="662" t="s">
        <v>2</v>
      </c>
      <c r="E26" s="663"/>
      <c r="F26" s="758" t="s">
        <v>553</v>
      </c>
      <c r="G26" s="759"/>
    </row>
    <row r="27" spans="1:19" s="287" customFormat="1" ht="17.25" customHeight="1" thickBot="1">
      <c r="A27" s="769"/>
      <c r="B27" s="770"/>
      <c r="C27" s="771"/>
      <c r="D27" s="312" t="s">
        <v>2</v>
      </c>
      <c r="E27" s="313" t="s">
        <v>1</v>
      </c>
      <c r="F27" s="344" t="s">
        <v>2</v>
      </c>
      <c r="G27" s="314" t="s">
        <v>1</v>
      </c>
    </row>
    <row r="28" spans="1:19" s="287" customFormat="1" ht="20.25" customHeight="1">
      <c r="A28" s="763" t="s">
        <v>554</v>
      </c>
      <c r="B28" s="364" t="s">
        <v>563</v>
      </c>
      <c r="C28" s="345" t="str">
        <f>$K$8</f>
        <v>頑健</v>
      </c>
      <c r="D28" s="316" t="str">
        <f>$L$8 &amp; "+1d20"</f>
        <v>22+1d20</v>
      </c>
      <c r="E28" s="317" t="str">
        <f>$L$8+2 &amp; "+1d20"</f>
        <v>24+1d20</v>
      </c>
      <c r="F28" s="346" t="str">
        <f>3+$L$8 &amp; "+1d20"</f>
        <v>25+1d20</v>
      </c>
      <c r="G28" s="347" t="str">
        <f>3+$L$8+2 &amp; "+1d20"</f>
        <v>27+1d20</v>
      </c>
    </row>
    <row r="29" spans="1:19" s="287" customFormat="1" ht="20.25" customHeight="1" thickBot="1">
      <c r="A29" s="764"/>
      <c r="B29" s="348" t="s">
        <v>561</v>
      </c>
      <c r="C29" s="354" t="s">
        <v>564</v>
      </c>
      <c r="D29" s="349" t="str">
        <f>$L$8 &amp; "+1d20"</f>
        <v>22+1d20</v>
      </c>
      <c r="E29" s="350" t="str">
        <f>$L$8+2 &amp; "+1d20"</f>
        <v>24+1d20</v>
      </c>
      <c r="F29" s="351" t="str">
        <f>3+$L$8 &amp; "+1d20"</f>
        <v>25+1d20</v>
      </c>
      <c r="G29" s="352" t="str">
        <f>3+$L$8+2 &amp; "+1d20"</f>
        <v>27+1d20</v>
      </c>
    </row>
    <row r="30" spans="1:19" s="287" customFormat="1" ht="18" customHeight="1">
      <c r="A30" s="764"/>
      <c r="B30" s="257" t="s">
        <v>4</v>
      </c>
      <c r="C30" s="233" t="str">
        <f>IF($M$13 = 0,"", $M$13)</f>
        <v>光輝</v>
      </c>
      <c r="D30" s="234" t="str">
        <f>$L$13 &amp; "+" &amp; $I$13 &amp; "d" &amp; $K$13</f>
        <v>11+1d8</v>
      </c>
      <c r="E30" s="234" t="str">
        <f>$L$13 &amp; "+" &amp; $I$13 &amp; "d" &amp; $K$13</f>
        <v>11+1d8</v>
      </c>
      <c r="F30" s="234" t="str">
        <f>$L$13 &amp; "+" &amp; $I$13 &amp; "d" &amp; $K$13</f>
        <v>11+1d8</v>
      </c>
      <c r="G30" s="235" t="str">
        <f>$L$13 &amp; "+" &amp; $I$13 &amp; "d" &amp; $K$13</f>
        <v>11+1d8</v>
      </c>
    </row>
    <row r="31" spans="1:19" s="287" customFormat="1" ht="18" customHeight="1">
      <c r="A31" s="764"/>
      <c r="B31" s="359" t="s">
        <v>3</v>
      </c>
      <c r="C31" s="360" t="str">
        <f>IF($M$14 = 0,"", $M$14)</f>
        <v>光輝</v>
      </c>
      <c r="D31" s="361" t="str">
        <f>$L$14 &amp; IF($I$14 = 0,"","+" &amp; $I$14 &amp; "d" &amp; $K$14)</f>
        <v>19+5d12</v>
      </c>
      <c r="E31" s="361" t="str">
        <f>$L$14 &amp; IF($I$14 = 0,"","+" &amp; $I$14 &amp; "d" &amp; $K$14)</f>
        <v>19+5d12</v>
      </c>
      <c r="F31" s="361" t="str">
        <f>$L$14 &amp; IF($I$14 = 0,"","+" &amp; $I$14 &amp; "d" &amp; $K$14)</f>
        <v>19+5d12</v>
      </c>
      <c r="G31" s="363" t="str">
        <f>$L$14 &amp; IF($I$14 = 0,"","+" &amp; $I$14 &amp; "d" &amp; $K$14)</f>
        <v>19+5d12</v>
      </c>
    </row>
    <row r="32" spans="1:19" s="287" customFormat="1" ht="18" customHeight="1">
      <c r="A32" s="764"/>
      <c r="B32" s="359" t="s">
        <v>982</v>
      </c>
      <c r="C32" s="360" t="str">
        <f>IF($M$14 = 0,"", $M$14)</f>
        <v>光輝</v>
      </c>
      <c r="D32" s="361" t="str">
        <f>$L$15 &amp; IF($I$15 = 0,"","+" &amp; $I$15 &amp; "d" &amp; $K$15)</f>
        <v>19+7d12</v>
      </c>
      <c r="E32" s="361" t="str">
        <f>$L$15 &amp; IF($I$15 = 0,"","+" &amp; $I$15 &amp; "d" &amp; $K$15)</f>
        <v>19+7d12</v>
      </c>
      <c r="F32" s="361" t="str">
        <f>$L$15 &amp; IF($I$15 = 0,"","+" &amp; $I$15 &amp; "d" &amp; $K$15)</f>
        <v>19+7d12</v>
      </c>
      <c r="G32" s="363" t="str">
        <f>$L$15 &amp; IF($I$15 = 0,"","+" &amp; $I$15 &amp; "d" &amp; $K$15)</f>
        <v>19+7d12</v>
      </c>
    </row>
    <row r="33" spans="1:11" s="287" customFormat="1" ht="18" customHeight="1" thickBot="1">
      <c r="A33" s="765"/>
      <c r="B33" s="514" t="s">
        <v>981</v>
      </c>
      <c r="C33" s="507" t="str">
        <f>IF($M$14 = 0,"", $M$14)</f>
        <v>光輝</v>
      </c>
      <c r="D33" s="508">
        <f>$M$15</f>
        <v>103</v>
      </c>
      <c r="E33" s="508">
        <f>$M$15</f>
        <v>103</v>
      </c>
      <c r="F33" s="508">
        <f>$M$15</f>
        <v>103</v>
      </c>
      <c r="G33" s="509">
        <f>$M$15</f>
        <v>103</v>
      </c>
    </row>
    <row r="34" spans="1:11" s="287" customFormat="1" ht="20.25" customHeight="1">
      <c r="A34" s="753" t="s">
        <v>558</v>
      </c>
      <c r="B34" s="171" t="s">
        <v>181</v>
      </c>
      <c r="C34" s="756" t="s">
        <v>91</v>
      </c>
      <c r="D34" s="316" t="str">
        <f>$R$8 &amp; "+1d20"</f>
        <v>0+1d20</v>
      </c>
      <c r="E34" s="317" t="str">
        <f>$R$8+2 &amp; "+1d20"</f>
        <v>2+1d20</v>
      </c>
      <c r="F34" s="346" t="str">
        <f>3+$R$8 &amp; "+1d20"</f>
        <v>3+1d20</v>
      </c>
      <c r="G34" s="347" t="str">
        <f>3+$R$8+2 &amp; "+1d20"</f>
        <v>5+1d20</v>
      </c>
    </row>
    <row r="35" spans="1:11" s="287" customFormat="1" ht="20.25" customHeight="1" thickBot="1">
      <c r="A35" s="754"/>
      <c r="B35" s="348" t="s">
        <v>488</v>
      </c>
      <c r="C35" s="757"/>
      <c r="D35" s="349" t="str">
        <f>$R$8+1 &amp; "+1d20"</f>
        <v>1+1d20</v>
      </c>
      <c r="E35" s="350" t="str">
        <f>$R$8+1+2 &amp; "+1d20"</f>
        <v>3+1d20</v>
      </c>
      <c r="F35" s="351" t="str">
        <f>3+$R$8+1 &amp; "+1d20"</f>
        <v>4+1d20</v>
      </c>
      <c r="G35" s="352" t="str">
        <f>3+$R$8+1+2 &amp; "+1d20"</f>
        <v>6+1d20</v>
      </c>
    </row>
    <row r="36" spans="1:11" s="287" customFormat="1" ht="18" customHeight="1">
      <c r="A36" s="754"/>
      <c r="B36" s="257" t="s">
        <v>4</v>
      </c>
      <c r="C36" s="233" t="str">
        <f>IF($S$13 = 0,"", $S$13)</f>
        <v/>
      </c>
      <c r="D36" s="234" t="str">
        <f>$R$13 &amp; "+" &amp; $O$13 &amp; "d" &amp; $Q$13</f>
        <v>0+1d4</v>
      </c>
      <c r="E36" s="234" t="str">
        <f>$R$13 &amp; "+" &amp; $O$13 &amp; "d" &amp; $Q$13</f>
        <v>0+1d4</v>
      </c>
      <c r="F36" s="234" t="str">
        <f>$R$13 &amp; "+" &amp; $O$13 &amp; "d" &amp; $Q$13</f>
        <v>0+1d4</v>
      </c>
      <c r="G36" s="235" t="str">
        <f>$R$13 &amp; "+" &amp; $O$13 &amp; "d" &amp; $Q$13</f>
        <v>0+1d4</v>
      </c>
      <c r="H36" s="288"/>
      <c r="I36" s="288"/>
      <c r="J36" s="288"/>
      <c r="K36" s="288"/>
    </row>
    <row r="37" spans="1:11" s="287" customFormat="1" ht="18" customHeight="1">
      <c r="A37" s="754"/>
      <c r="B37" s="359" t="s">
        <v>3</v>
      </c>
      <c r="C37" s="360" t="str">
        <f>IF($S$14 = 0,"", $S$14)</f>
        <v/>
      </c>
      <c r="D37" s="361" t="str">
        <f t="shared" ref="D37:G37" si="0">$R$14 &amp; IF($O$14 = 0,"","+" &amp; $O$14 &amp; "d" &amp; $Q$14)</f>
        <v>4+5d12</v>
      </c>
      <c r="E37" s="361" t="str">
        <f t="shared" si="0"/>
        <v>4+5d12</v>
      </c>
      <c r="F37" s="361" t="str">
        <f t="shared" si="0"/>
        <v>4+5d12</v>
      </c>
      <c r="G37" s="363" t="str">
        <f t="shared" si="0"/>
        <v>4+5d12</v>
      </c>
      <c r="H37" s="288"/>
      <c r="I37" s="288"/>
      <c r="J37" s="288"/>
      <c r="K37" s="288"/>
    </row>
    <row r="38" spans="1:11" s="287" customFormat="1" ht="18" customHeight="1">
      <c r="A38" s="754"/>
      <c r="B38" s="359" t="s">
        <v>982</v>
      </c>
      <c r="C38" s="360" t="str">
        <f>IF($S$14 = 0,"", $S$14)</f>
        <v/>
      </c>
      <c r="D38" s="361" t="str">
        <f>$R$15 &amp; IF($O$15 = 0,"","+" &amp; $O$15 &amp; "d" &amp; $Q$15)</f>
        <v>4+7d12</v>
      </c>
      <c r="E38" s="361" t="str">
        <f>$R$15 &amp; IF($O$15 = 0,"","+" &amp; $O$15 &amp; "d" &amp; $Q$15)</f>
        <v>4+7d12</v>
      </c>
      <c r="F38" s="361" t="str">
        <f>$R$15 &amp; IF($O$15 = 0,"","+" &amp; $O$15 &amp; "d" &amp; $Q$15)</f>
        <v>4+7d12</v>
      </c>
      <c r="G38" s="363" t="str">
        <f>$R$15 &amp; IF($O$15 = 0,"","+" &amp; $O$15 &amp; "d" &amp; $Q$15)</f>
        <v>4+7d12</v>
      </c>
      <c r="H38" s="288"/>
      <c r="I38" s="288"/>
      <c r="J38" s="288"/>
      <c r="K38" s="288"/>
    </row>
    <row r="39" spans="1:11" s="287" customFormat="1" ht="18" customHeight="1" thickBot="1">
      <c r="A39" s="755"/>
      <c r="B39" s="514" t="s">
        <v>981</v>
      </c>
      <c r="C39" s="507" t="str">
        <f>IF($S$14 = 0,"", $S$14)</f>
        <v/>
      </c>
      <c r="D39" s="508">
        <f>$S$15</f>
        <v>88</v>
      </c>
      <c r="E39" s="508">
        <f>$S$15</f>
        <v>88</v>
      </c>
      <c r="F39" s="508">
        <f>$S$15</f>
        <v>88</v>
      </c>
      <c r="G39" s="509">
        <f>$S$15</f>
        <v>88</v>
      </c>
      <c r="H39" s="288"/>
      <c r="I39" s="288"/>
      <c r="J39" s="288"/>
      <c r="K39" s="288"/>
    </row>
    <row r="40" spans="1:11" ht="8.25" customHeight="1">
      <c r="A40" s="523"/>
      <c r="B40" s="523"/>
      <c r="C40" s="523"/>
      <c r="D40" s="523"/>
      <c r="E40" s="523"/>
      <c r="F40" s="523"/>
      <c r="G40" s="523"/>
      <c r="I40" s="133"/>
      <c r="J40" s="133"/>
      <c r="K40" s="133"/>
    </row>
    <row r="41" spans="1:11" ht="14.25">
      <c r="A41" s="517" t="s">
        <v>493</v>
      </c>
      <c r="B41" s="517"/>
      <c r="C41" s="517"/>
      <c r="D41" s="517"/>
      <c r="E41" s="517"/>
      <c r="F41" s="517"/>
      <c r="G41" s="517"/>
      <c r="I41" s="133"/>
      <c r="J41" s="133"/>
      <c r="K41" s="133"/>
    </row>
    <row r="42" spans="1:11" s="287" customFormat="1" ht="14.25">
      <c r="A42" s="517" t="s">
        <v>815</v>
      </c>
      <c r="B42" s="517"/>
      <c r="C42" s="517"/>
      <c r="D42" s="517"/>
      <c r="E42" s="517"/>
      <c r="F42" s="517"/>
      <c r="G42" s="517"/>
      <c r="H42" s="288"/>
    </row>
    <row r="43" spans="1:11" ht="8.25" customHeight="1">
      <c r="A43" s="604"/>
      <c r="B43" s="604"/>
      <c r="C43" s="604"/>
      <c r="D43" s="604"/>
      <c r="E43" s="604"/>
      <c r="F43" s="604"/>
      <c r="G43" s="604"/>
    </row>
    <row r="44" spans="1:11" ht="13.5" customHeight="1">
      <c r="A44" s="619" t="s">
        <v>48</v>
      </c>
      <c r="B44" s="620"/>
      <c r="C44" s="620"/>
      <c r="D44" s="620"/>
      <c r="E44" s="620"/>
      <c r="F44" s="620"/>
      <c r="G44" s="621"/>
    </row>
    <row r="45" spans="1:11" s="111" customFormat="1" ht="13.5" customHeight="1">
      <c r="A45" s="645"/>
      <c r="B45" s="646"/>
      <c r="C45" s="646"/>
      <c r="D45" s="646"/>
      <c r="E45" s="646"/>
      <c r="F45" s="646"/>
      <c r="G45" s="647"/>
      <c r="H45" s="110"/>
      <c r="I45" s="110"/>
      <c r="J45" s="110"/>
      <c r="K45" s="110"/>
    </row>
    <row r="46" spans="1:11" s="111" customFormat="1" ht="13.5" customHeight="1">
      <c r="A46" s="645" t="s">
        <v>916</v>
      </c>
      <c r="B46" s="646"/>
      <c r="C46" s="646"/>
      <c r="D46" s="646"/>
      <c r="E46" s="646"/>
      <c r="F46" s="646"/>
      <c r="G46" s="647"/>
      <c r="H46" s="110"/>
      <c r="I46" s="110"/>
      <c r="J46" s="110"/>
      <c r="K46" s="110"/>
    </row>
    <row r="47" spans="1:11" s="111" customFormat="1" ht="13.5" customHeight="1">
      <c r="A47" s="645" t="s">
        <v>864</v>
      </c>
      <c r="B47" s="646"/>
      <c r="C47" s="646"/>
      <c r="D47" s="646"/>
      <c r="E47" s="646"/>
      <c r="F47" s="646"/>
      <c r="G47" s="647"/>
      <c r="H47" s="110"/>
      <c r="I47" s="110"/>
      <c r="J47" s="110"/>
      <c r="K47" s="110"/>
    </row>
    <row r="48" spans="1:11" s="284" customFormat="1" ht="13.5" customHeight="1">
      <c r="A48" s="645" t="s">
        <v>862</v>
      </c>
      <c r="B48" s="646"/>
      <c r="C48" s="646"/>
      <c r="D48" s="646"/>
      <c r="E48" s="646"/>
      <c r="F48" s="646"/>
      <c r="G48" s="647"/>
      <c r="H48" s="283"/>
      <c r="I48" s="283"/>
      <c r="J48" s="283"/>
      <c r="K48" s="283"/>
    </row>
    <row r="49" spans="1:13" s="284" customFormat="1" ht="13.5" customHeight="1">
      <c r="A49" s="645" t="s">
        <v>861</v>
      </c>
      <c r="B49" s="646"/>
      <c r="C49" s="646"/>
      <c r="D49" s="646"/>
      <c r="E49" s="646"/>
      <c r="F49" s="646"/>
      <c r="G49" s="647"/>
      <c r="H49" s="283"/>
      <c r="I49" s="283"/>
      <c r="J49" s="283"/>
      <c r="K49" s="283"/>
    </row>
    <row r="50" spans="1:13" s="111" customFormat="1" ht="13.5" customHeight="1">
      <c r="A50" s="645"/>
      <c r="B50" s="646"/>
      <c r="C50" s="646"/>
      <c r="D50" s="646"/>
      <c r="E50" s="646"/>
      <c r="F50" s="646"/>
      <c r="G50" s="647"/>
      <c r="H50" s="110"/>
      <c r="I50" s="110"/>
      <c r="J50" s="110"/>
      <c r="K50" s="110"/>
    </row>
    <row r="51" spans="1:13" s="111" customFormat="1" ht="13.5" customHeight="1">
      <c r="A51" s="645" t="s">
        <v>863</v>
      </c>
      <c r="B51" s="646"/>
      <c r="C51" s="646"/>
      <c r="D51" s="646"/>
      <c r="E51" s="646"/>
      <c r="F51" s="646"/>
      <c r="G51" s="647"/>
      <c r="H51" s="110"/>
      <c r="I51" s="110"/>
      <c r="J51" s="110"/>
      <c r="K51" s="110"/>
    </row>
    <row r="52" spans="1:13" s="110" customFormat="1" ht="13.5" customHeight="1">
      <c r="A52" s="651"/>
      <c r="B52" s="652"/>
      <c r="C52" s="652"/>
      <c r="D52" s="652"/>
      <c r="E52" s="652"/>
      <c r="F52" s="652"/>
      <c r="G52" s="712"/>
      <c r="L52" s="111"/>
      <c r="M52" s="111"/>
    </row>
    <row r="53" spans="1:13" s="88" customFormat="1" ht="21">
      <c r="A53" s="119" t="s">
        <v>32</v>
      </c>
      <c r="B53" s="202">
        <f>$B$1</f>
        <v>9</v>
      </c>
      <c r="C53" s="121" t="s">
        <v>39</v>
      </c>
      <c r="D53" s="122" t="str">
        <f>$E$1</f>
        <v>一日毎</v>
      </c>
      <c r="E53" s="725" t="str">
        <f>$B$2</f>
        <v>サモン・ブレード・エンジェル</v>
      </c>
      <c r="F53" s="726"/>
      <c r="G53" s="727"/>
      <c r="L53" s="133"/>
      <c r="M53" s="133"/>
    </row>
  </sheetData>
  <mergeCells count="49">
    <mergeCell ref="J9:K9"/>
    <mergeCell ref="A23:C23"/>
    <mergeCell ref="B12:G12"/>
    <mergeCell ref="J11:K11"/>
    <mergeCell ref="B22:G22"/>
    <mergeCell ref="B11:G11"/>
    <mergeCell ref="B6:D6"/>
    <mergeCell ref="B7:D7"/>
    <mergeCell ref="B8:G8"/>
    <mergeCell ref="B9:G9"/>
    <mergeCell ref="B10:G10"/>
    <mergeCell ref="B1:C1"/>
    <mergeCell ref="F1:G1"/>
    <mergeCell ref="B2:G2"/>
    <mergeCell ref="B4:G4"/>
    <mergeCell ref="B5:G5"/>
    <mergeCell ref="A40:G40"/>
    <mergeCell ref="A41:G41"/>
    <mergeCell ref="A26:C27"/>
    <mergeCell ref="D26:E26"/>
    <mergeCell ref="F26:G26"/>
    <mergeCell ref="E53:G53"/>
    <mergeCell ref="A43:G43"/>
    <mergeCell ref="A44:G44"/>
    <mergeCell ref="A45:G45"/>
    <mergeCell ref="A47:G47"/>
    <mergeCell ref="A50:G50"/>
    <mergeCell ref="A46:G46"/>
    <mergeCell ref="A42:G42"/>
    <mergeCell ref="A51:G51"/>
    <mergeCell ref="A52:G52"/>
    <mergeCell ref="A48:G48"/>
    <mergeCell ref="A49:G49"/>
    <mergeCell ref="N4:S4"/>
    <mergeCell ref="A34:A39"/>
    <mergeCell ref="H4:M4"/>
    <mergeCell ref="C34:C35"/>
    <mergeCell ref="A28:A33"/>
    <mergeCell ref="B20:G20"/>
    <mergeCell ref="A24:C24"/>
    <mergeCell ref="B17:G17"/>
    <mergeCell ref="B18:G18"/>
    <mergeCell ref="B19:G19"/>
    <mergeCell ref="B13:G13"/>
    <mergeCell ref="B14:G14"/>
    <mergeCell ref="B15:G15"/>
    <mergeCell ref="B16:G16"/>
    <mergeCell ref="P9:Q9"/>
    <mergeCell ref="P11:Q11"/>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基本!$D$27:$D$31</xm:f>
          </x14:formula1>
          <xm:sqref>I7</xm:sqref>
        </x14:dataValidation>
        <x14:dataValidation type="list" allowBlank="1" showInputMessage="1" showErrorMessage="1">
          <x14:formula1>
            <xm:f>基本!$A$5:$A$10</xm:f>
          </x14:formula1>
          <xm:sqref>I8 I10 Q15 K15</xm:sqref>
        </x14:dataValidation>
        <x14:dataValidation type="list" allowBlank="1" showInputMessage="1" showErrorMessage="1">
          <x14:formula1>
            <xm:f>基本!$A$16:$A$19</xm:f>
          </x14:formula1>
          <xm:sqref>K8</xm:sqref>
        </x14:dataValidation>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 type="list" allowBlank="1" showInputMessage="1" showErrorMessage="1">
          <x14:formula1>
            <xm:f>基本!$C$27:$C$37</xm:f>
          </x14:formula1>
          <xm:sqref>I15</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34998626667073579"/>
  </sheetPr>
  <dimension ref="A1:R52"/>
  <sheetViews>
    <sheetView topLeftCell="A36" zoomScaleNormal="100" workbookViewId="0">
      <selection activeCell="A50" sqref="A50:G50"/>
    </sheetView>
  </sheetViews>
  <sheetFormatPr defaultRowHeight="13.5"/>
  <cols>
    <col min="1" max="1" width="7.875" style="133" customWidth="1"/>
    <col min="2" max="2" width="8.5" style="133" customWidth="1"/>
    <col min="3" max="3" width="6.625" style="133" customWidth="1"/>
    <col min="4" max="4" width="15.75" style="133" customWidth="1"/>
    <col min="5" max="6" width="15.75" style="88" customWidth="1"/>
    <col min="7" max="7" width="18.25" style="88" customWidth="1"/>
    <col min="8" max="8" width="17.375" style="88" customWidth="1"/>
    <col min="9" max="9" width="14.625" style="88" customWidth="1"/>
    <col min="10" max="10" width="8.375" style="88" customWidth="1"/>
    <col min="11" max="11" width="7.5" style="88" customWidth="1"/>
    <col min="12" max="13" width="7.875" style="133" customWidth="1"/>
    <col min="14" max="14" width="17.875" style="133" bestFit="1" customWidth="1"/>
    <col min="15" max="15" width="12.375" style="133" customWidth="1"/>
    <col min="16" max="16384" width="9" style="133"/>
  </cols>
  <sheetData>
    <row r="1" spans="1:18" ht="21">
      <c r="A1" s="116"/>
      <c r="B1" s="725" t="s">
        <v>210</v>
      </c>
      <c r="C1" s="727"/>
      <c r="D1" s="117" t="s">
        <v>39</v>
      </c>
      <c r="E1" s="118" t="s">
        <v>120</v>
      </c>
      <c r="F1" s="736"/>
      <c r="G1" s="737"/>
      <c r="H1" s="93" t="s">
        <v>54</v>
      </c>
    </row>
    <row r="2" spans="1:18" ht="24.75" customHeight="1">
      <c r="A2" s="117" t="s">
        <v>0</v>
      </c>
      <c r="B2" s="738" t="s">
        <v>599</v>
      </c>
      <c r="C2" s="738"/>
      <c r="D2" s="738"/>
      <c r="E2" s="738"/>
      <c r="F2" s="738"/>
      <c r="G2" s="738"/>
      <c r="H2" s="93" t="s">
        <v>55</v>
      </c>
    </row>
    <row r="3" spans="1:18" ht="19.5" customHeight="1">
      <c r="A3" s="99" t="s">
        <v>47</v>
      </c>
      <c r="B3" s="88"/>
      <c r="C3" s="88"/>
      <c r="D3" s="88"/>
      <c r="I3" s="93"/>
    </row>
    <row r="4" spans="1:18">
      <c r="A4" s="72" t="s">
        <v>45</v>
      </c>
      <c r="B4" s="628" t="s">
        <v>464</v>
      </c>
      <c r="C4" s="629"/>
      <c r="D4" s="629"/>
      <c r="E4" s="629"/>
      <c r="F4" s="629"/>
      <c r="G4" s="630"/>
      <c r="H4" s="539" t="s">
        <v>339</v>
      </c>
      <c r="I4" s="540"/>
      <c r="J4" s="540"/>
      <c r="K4" s="540"/>
      <c r="L4" s="541"/>
      <c r="N4"/>
      <c r="O4"/>
      <c r="P4"/>
      <c r="Q4"/>
      <c r="R4"/>
    </row>
    <row r="5" spans="1:18">
      <c r="A5" s="73" t="s">
        <v>38</v>
      </c>
      <c r="B5" s="628" t="s">
        <v>211</v>
      </c>
      <c r="C5" s="629"/>
      <c r="D5" s="629"/>
      <c r="E5" s="629"/>
      <c r="F5" s="629"/>
      <c r="G5" s="630"/>
      <c r="H5" s="174" t="s">
        <v>42</v>
      </c>
      <c r="I5" s="176"/>
      <c r="J5" s="176"/>
      <c r="N5"/>
      <c r="O5"/>
      <c r="P5"/>
      <c r="Q5"/>
      <c r="R5"/>
    </row>
    <row r="6" spans="1:18">
      <c r="A6" s="73" t="s">
        <v>7</v>
      </c>
      <c r="B6" s="628" t="s">
        <v>126</v>
      </c>
      <c r="C6" s="629"/>
      <c r="D6" s="630"/>
      <c r="E6" s="174" t="s">
        <v>42</v>
      </c>
      <c r="F6" s="175" t="str">
        <f>IF($I$5 = 0,"", $I$5)</f>
        <v/>
      </c>
      <c r="G6" s="175" t="str">
        <f>IF($J$5 = 0,"", $J$5)</f>
        <v/>
      </c>
      <c r="H6" s="174" t="s">
        <v>65</v>
      </c>
      <c r="I6" s="176"/>
      <c r="J6" s="176"/>
      <c r="N6"/>
      <c r="O6"/>
      <c r="P6"/>
      <c r="Q6"/>
      <c r="R6"/>
    </row>
    <row r="7" spans="1:18">
      <c r="A7" s="123" t="s">
        <v>6</v>
      </c>
      <c r="B7" s="760"/>
      <c r="C7" s="761"/>
      <c r="D7" s="762"/>
      <c r="E7" s="174" t="s">
        <v>65</v>
      </c>
      <c r="F7" s="175" t="str">
        <f>IF($I$6 = 0,"", $I$6)</f>
        <v/>
      </c>
      <c r="G7" s="175" t="str">
        <f>IF($J$6 = 0,"", $J$6)</f>
        <v/>
      </c>
      <c r="H7" s="174" t="s">
        <v>84</v>
      </c>
      <c r="I7" s="176" t="s">
        <v>112</v>
      </c>
      <c r="J7" s="93" t="s">
        <v>61</v>
      </c>
      <c r="L7" s="230" t="s">
        <v>343</v>
      </c>
      <c r="N7"/>
      <c r="O7"/>
      <c r="P7"/>
      <c r="Q7"/>
      <c r="R7"/>
    </row>
    <row r="8" spans="1:18">
      <c r="A8" s="160" t="s">
        <v>60</v>
      </c>
      <c r="B8" s="642" t="s">
        <v>212</v>
      </c>
      <c r="C8" s="643"/>
      <c r="D8" s="643"/>
      <c r="E8" s="643"/>
      <c r="F8" s="643"/>
      <c r="G8" s="644"/>
      <c r="H8" s="174" t="s">
        <v>50</v>
      </c>
      <c r="I8" s="176" t="s">
        <v>139</v>
      </c>
      <c r="J8" s="175">
        <f>IF($I$8 = "筋力",基本!$C$5,IF($I$8 = "耐久力",基本!$C$6,IF($I$8 = "敏捷力",基本!$C$7,IF($I$8 = "知力",基本!$C$8,IF($I$8 = "判断力",基本!$C$9,IF($I$8 = "判断力",基本!$C$10,""))))))</f>
        <v>7</v>
      </c>
      <c r="K8" s="176" t="s">
        <v>20</v>
      </c>
      <c r="L8" s="229">
        <f>$J$8+$L$9+$I$9</f>
        <v>35</v>
      </c>
      <c r="N8"/>
      <c r="O8"/>
      <c r="P8"/>
      <c r="Q8"/>
      <c r="R8"/>
    </row>
    <row r="9" spans="1:18">
      <c r="A9" s="76"/>
      <c r="B9" s="645" t="s">
        <v>213</v>
      </c>
      <c r="C9" s="646"/>
      <c r="D9" s="646"/>
      <c r="E9" s="646"/>
      <c r="F9" s="646"/>
      <c r="G9" s="647"/>
      <c r="H9" s="174" t="s">
        <v>57</v>
      </c>
      <c r="I9" s="176">
        <v>13</v>
      </c>
      <c r="J9" s="539" t="s">
        <v>52</v>
      </c>
      <c r="K9" s="541"/>
      <c r="L9" s="175">
        <f>IF($I$7=基本!$F$4,基本!$O$7,IF($I$7=基本!$F$13,基本!$O$16,IF($I$7=基本!$F$22,基本!$O$25,IF($I$7=基本!$F$31,基本!$O$34,IF($I$7=基本!$F$40,基本!$O$43,0)))))</f>
        <v>15</v>
      </c>
      <c r="N9"/>
      <c r="O9"/>
      <c r="P9"/>
      <c r="Q9"/>
      <c r="R9"/>
    </row>
    <row r="10" spans="1:18">
      <c r="A10" s="76"/>
      <c r="B10" s="645" t="s">
        <v>214</v>
      </c>
      <c r="C10" s="646"/>
      <c r="D10" s="646"/>
      <c r="E10" s="646"/>
      <c r="F10" s="646"/>
      <c r="G10" s="647"/>
      <c r="H10" s="172" t="s">
        <v>51</v>
      </c>
      <c r="I10" s="176" t="s">
        <v>139</v>
      </c>
      <c r="J10" s="97">
        <f>IF($I$10 = "筋力",基本!$C$5,IF($I$10 = "耐久力",基本!$C$6,IF($I$10 = "敏捷力",基本!$C$7,IF($I$10 = "知力",基本!$C$8,IF($I$10 = "判断力",基本!$C$9,IF($I$10 = "判断力",基本!$C$10,""))))))</f>
        <v>7</v>
      </c>
      <c r="L10" s="88"/>
      <c r="N10"/>
      <c r="O10"/>
      <c r="P10"/>
      <c r="Q10"/>
      <c r="R10"/>
    </row>
    <row r="11" spans="1:18">
      <c r="A11" s="76"/>
      <c r="B11" s="645" t="s">
        <v>584</v>
      </c>
      <c r="C11" s="646"/>
      <c r="D11" s="646"/>
      <c r="E11" s="646"/>
      <c r="F11" s="646"/>
      <c r="G11" s="647"/>
      <c r="H11" s="174" t="s">
        <v>58</v>
      </c>
      <c r="I11" s="176">
        <v>9</v>
      </c>
      <c r="J11" s="539" t="s">
        <v>53</v>
      </c>
      <c r="K11" s="541"/>
      <c r="L11" s="175">
        <f>IF($I$7=基本!$F$4,基本!$O$9,IF($I$7=基本!$F$13,基本!$O$18,IF($I$7=基本!$F$22,基本!$O$27,IF($I$7=基本!$F$31,基本!$O$36,IF($I$7=基本!$F$40,基本!$O$45,0)))))</f>
        <v>4</v>
      </c>
      <c r="N11"/>
      <c r="O11"/>
      <c r="P11"/>
      <c r="Q11"/>
      <c r="R11"/>
    </row>
    <row r="12" spans="1:18" ht="13.5" customHeight="1">
      <c r="A12" s="76"/>
      <c r="B12" s="645" t="s">
        <v>583</v>
      </c>
      <c r="C12" s="646"/>
      <c r="D12" s="646"/>
      <c r="E12" s="646"/>
      <c r="F12" s="646"/>
      <c r="G12" s="647"/>
      <c r="H12" s="133"/>
      <c r="I12" s="133"/>
      <c r="L12" s="230" t="s">
        <v>343</v>
      </c>
      <c r="N12"/>
      <c r="O12"/>
      <c r="P12"/>
      <c r="Q12"/>
      <c r="R12"/>
    </row>
    <row r="13" spans="1:18" ht="13.5" customHeight="1">
      <c r="A13" s="76"/>
      <c r="B13" s="645" t="s">
        <v>215</v>
      </c>
      <c r="C13" s="646"/>
      <c r="D13" s="646"/>
      <c r="E13" s="646"/>
      <c r="F13" s="646"/>
      <c r="G13" s="647"/>
      <c r="H13" s="219" t="s">
        <v>85</v>
      </c>
      <c r="I13" s="176">
        <v>1</v>
      </c>
      <c r="J13" s="174" t="s">
        <v>43</v>
      </c>
      <c r="K13" s="176">
        <v>6</v>
      </c>
      <c r="L13" s="229">
        <f>$J$10+$L$11+$I$11</f>
        <v>20</v>
      </c>
      <c r="N13"/>
      <c r="O13"/>
      <c r="P13"/>
      <c r="Q13"/>
      <c r="R13"/>
    </row>
    <row r="14" spans="1:18" ht="13.5" customHeight="1">
      <c r="A14" s="124"/>
      <c r="B14" s="645" t="s">
        <v>217</v>
      </c>
      <c r="C14" s="646"/>
      <c r="D14" s="646"/>
      <c r="E14" s="646"/>
      <c r="F14" s="646"/>
      <c r="G14" s="647"/>
      <c r="H14" s="174" t="s">
        <v>49</v>
      </c>
      <c r="I14" s="32">
        <f>IF($I$7=基本!$F$4,基本!$L$11,IF($I$7=基本!$F$13,基本!$L$20,IF($I$7=基本!$F$22,基本!$L$29,IF($I$7=基本!$F$31,基本!$L$38,IF($I$7=基本!$F$40,基本!$L$47,0)))))</f>
        <v>5</v>
      </c>
      <c r="J14" s="219" t="s">
        <v>341</v>
      </c>
      <c r="K14" s="32">
        <f>IF($I$7=基本!$F$4,基本!$N$11,IF($I$7=基本!$F$13,基本!$N$20,IF($I$7=基本!$F$22,基本!$N$29,IF($I$7=基本!$F$31,基本!$N$38,IF($I$7=基本!$F$40,基本!$N$47,0)))))</f>
        <v>12</v>
      </c>
      <c r="L14" s="229">
        <f>$J$10+$L$11+$I$11+($I$13*$K$13)</f>
        <v>26</v>
      </c>
      <c r="N14"/>
      <c r="O14"/>
      <c r="P14"/>
      <c r="Q14"/>
      <c r="R14"/>
    </row>
    <row r="15" spans="1:18" ht="13.5" customHeight="1">
      <c r="A15" s="185"/>
      <c r="B15" s="651"/>
      <c r="C15" s="652"/>
      <c r="D15" s="652"/>
      <c r="E15" s="652"/>
      <c r="F15" s="652"/>
      <c r="G15" s="712"/>
      <c r="H15" s="174" t="s">
        <v>59</v>
      </c>
      <c r="I15" s="176" t="s">
        <v>75</v>
      </c>
      <c r="J15" s="219" t="s">
        <v>342</v>
      </c>
      <c r="K15" s="220" t="s">
        <v>15</v>
      </c>
      <c r="L15" s="218">
        <f>IF(K15="",0,VLOOKUP(K15,基本!$A$5:'基本'!$C$10,3,FALSE))</f>
        <v>3</v>
      </c>
      <c r="N15"/>
      <c r="O15"/>
      <c r="P15"/>
      <c r="Q15"/>
      <c r="R15"/>
    </row>
    <row r="16" spans="1:18" ht="13.5" customHeight="1">
      <c r="A16" s="76"/>
      <c r="B16" s="645" t="s">
        <v>219</v>
      </c>
      <c r="C16" s="646"/>
      <c r="D16" s="646"/>
      <c r="E16" s="646"/>
      <c r="F16" s="646"/>
      <c r="G16" s="647"/>
      <c r="H16" s="174" t="s">
        <v>207</v>
      </c>
      <c r="I16" s="176">
        <f>基本!$B$3</f>
        <v>17</v>
      </c>
    </row>
    <row r="17" spans="1:7" ht="13.5" customHeight="1">
      <c r="A17" s="76"/>
      <c r="B17" s="645" t="s">
        <v>220</v>
      </c>
      <c r="C17" s="646"/>
      <c r="D17" s="646"/>
      <c r="E17" s="646"/>
      <c r="F17" s="646"/>
      <c r="G17" s="647"/>
    </row>
    <row r="18" spans="1:7" ht="13.5" customHeight="1">
      <c r="A18" s="76"/>
      <c r="B18" s="645" t="s">
        <v>221</v>
      </c>
      <c r="C18" s="646"/>
      <c r="D18" s="646"/>
      <c r="E18" s="646"/>
      <c r="F18" s="646"/>
      <c r="G18" s="647"/>
    </row>
    <row r="19" spans="1:7" ht="13.5" customHeight="1">
      <c r="A19" s="76"/>
      <c r="B19" s="645" t="s">
        <v>229</v>
      </c>
      <c r="C19" s="646"/>
      <c r="D19" s="646"/>
      <c r="E19" s="646"/>
      <c r="F19" s="646"/>
      <c r="G19" s="647"/>
    </row>
    <row r="20" spans="1:7" ht="13.5" customHeight="1">
      <c r="A20" s="76"/>
      <c r="B20" s="645" t="s">
        <v>222</v>
      </c>
      <c r="C20" s="646"/>
      <c r="D20" s="646"/>
      <c r="E20" s="646"/>
      <c r="F20" s="646"/>
      <c r="G20" s="647"/>
    </row>
    <row r="21" spans="1:7" ht="13.5" customHeight="1">
      <c r="A21" s="76"/>
      <c r="B21" s="645" t="s">
        <v>223</v>
      </c>
      <c r="C21" s="646"/>
      <c r="D21" s="646"/>
      <c r="E21" s="646"/>
      <c r="F21" s="646"/>
      <c r="G21" s="647"/>
    </row>
    <row r="22" spans="1:7" ht="13.5" customHeight="1">
      <c r="A22" s="76"/>
      <c r="B22" s="645" t="s">
        <v>230</v>
      </c>
      <c r="C22" s="646"/>
      <c r="D22" s="646"/>
      <c r="E22" s="646"/>
      <c r="F22" s="646"/>
      <c r="G22" s="647"/>
    </row>
    <row r="23" spans="1:7" ht="13.5" customHeight="1">
      <c r="A23" s="76"/>
      <c r="B23" s="645" t="s">
        <v>224</v>
      </c>
      <c r="C23" s="646"/>
      <c r="D23" s="646"/>
      <c r="E23" s="646"/>
      <c r="F23" s="646"/>
      <c r="G23" s="647"/>
    </row>
    <row r="24" spans="1:7" ht="13.5" customHeight="1">
      <c r="A24" s="76"/>
      <c r="B24" s="645" t="s">
        <v>225</v>
      </c>
      <c r="C24" s="646"/>
      <c r="D24" s="646"/>
      <c r="E24" s="646"/>
      <c r="F24" s="646"/>
      <c r="G24" s="647"/>
    </row>
    <row r="25" spans="1:7" ht="13.5" customHeight="1">
      <c r="A25" s="76"/>
      <c r="B25" s="645" t="s">
        <v>231</v>
      </c>
      <c r="C25" s="646"/>
      <c r="D25" s="646"/>
      <c r="E25" s="646"/>
      <c r="F25" s="646"/>
      <c r="G25" s="647"/>
    </row>
    <row r="26" spans="1:7" ht="13.5" customHeight="1">
      <c r="A26" s="76"/>
      <c r="B26" s="645" t="s">
        <v>226</v>
      </c>
      <c r="C26" s="646"/>
      <c r="D26" s="646"/>
      <c r="E26" s="646"/>
      <c r="F26" s="646"/>
      <c r="G26" s="647"/>
    </row>
    <row r="27" spans="1:7" ht="13.5" customHeight="1">
      <c r="A27" s="76"/>
      <c r="B27" s="645" t="s">
        <v>227</v>
      </c>
      <c r="C27" s="646"/>
      <c r="D27" s="646"/>
      <c r="E27" s="646"/>
      <c r="F27" s="646"/>
      <c r="G27" s="647"/>
    </row>
    <row r="28" spans="1:7" ht="13.5" customHeight="1">
      <c r="A28" s="76"/>
      <c r="B28" s="645" t="s">
        <v>228</v>
      </c>
      <c r="C28" s="646"/>
      <c r="D28" s="646"/>
      <c r="E28" s="646"/>
      <c r="F28" s="646"/>
      <c r="G28" s="647"/>
    </row>
    <row r="29" spans="1:7" ht="13.5" customHeight="1">
      <c r="A29" s="76"/>
      <c r="B29" s="645"/>
      <c r="C29" s="646"/>
      <c r="D29" s="646"/>
      <c r="E29" s="646"/>
      <c r="F29" s="646"/>
      <c r="G29" s="647"/>
    </row>
    <row r="30" spans="1:7" ht="13.5" customHeight="1">
      <c r="A30" s="76"/>
      <c r="B30" s="645" t="s">
        <v>232</v>
      </c>
      <c r="C30" s="646"/>
      <c r="D30" s="646"/>
      <c r="E30" s="646"/>
      <c r="F30" s="646"/>
      <c r="G30" s="647"/>
    </row>
    <row r="31" spans="1:7" ht="13.5" customHeight="1">
      <c r="A31" s="76"/>
      <c r="B31" s="645" t="s">
        <v>233</v>
      </c>
      <c r="C31" s="646"/>
      <c r="D31" s="646"/>
      <c r="E31" s="646"/>
      <c r="F31" s="646"/>
      <c r="G31" s="647"/>
    </row>
    <row r="32" spans="1:7" ht="13.5" customHeight="1">
      <c r="A32" s="76"/>
      <c r="B32" s="645"/>
      <c r="C32" s="646"/>
      <c r="D32" s="646"/>
      <c r="E32" s="646"/>
      <c r="F32" s="646"/>
      <c r="G32" s="647"/>
    </row>
    <row r="33" spans="1:12" ht="13.5" customHeight="1">
      <c r="A33" s="77"/>
      <c r="B33" s="651" t="s">
        <v>234</v>
      </c>
      <c r="C33" s="652"/>
      <c r="D33" s="652"/>
      <c r="E33" s="652"/>
      <c r="F33" s="652"/>
      <c r="G33" s="712"/>
    </row>
    <row r="34" spans="1:12" ht="14.25" thickBot="1">
      <c r="A34" s="125" t="s">
        <v>171</v>
      </c>
      <c r="B34" s="177"/>
      <c r="C34" s="177"/>
      <c r="D34" s="177"/>
      <c r="E34" s="177"/>
      <c r="F34" s="177"/>
      <c r="G34" s="177"/>
      <c r="H34" s="133"/>
      <c r="I34" s="133"/>
      <c r="J34" s="133"/>
      <c r="K34" s="133"/>
    </row>
    <row r="35" spans="1:12" ht="21.75" thickBot="1">
      <c r="A35" s="161" t="s">
        <v>172</v>
      </c>
      <c r="B35" s="741" t="s">
        <v>218</v>
      </c>
      <c r="C35" s="742"/>
      <c r="D35" s="742"/>
      <c r="E35" s="742"/>
      <c r="F35" s="742"/>
      <c r="G35" s="743"/>
      <c r="H35" s="133"/>
      <c r="I35" s="133"/>
      <c r="J35" s="133"/>
      <c r="K35" s="133"/>
    </row>
    <row r="36" spans="1:12" ht="21" customHeight="1">
      <c r="A36" s="744" t="s">
        <v>173</v>
      </c>
      <c r="B36" s="745"/>
      <c r="C36" s="746"/>
      <c r="D36" s="162" t="s">
        <v>174</v>
      </c>
      <c r="E36" s="163" t="s">
        <v>175</v>
      </c>
      <c r="F36" s="163" t="s">
        <v>176</v>
      </c>
      <c r="G36" s="164" t="s">
        <v>177</v>
      </c>
      <c r="H36" s="165" t="s">
        <v>173</v>
      </c>
      <c r="I36" s="166" t="s">
        <v>174</v>
      </c>
      <c r="J36" s="166" t="s">
        <v>175</v>
      </c>
      <c r="K36" s="166" t="s">
        <v>176</v>
      </c>
      <c r="L36" s="166" t="s">
        <v>177</v>
      </c>
    </row>
    <row r="37" spans="1:12" ht="30" customHeight="1" thickBot="1">
      <c r="A37" s="747" t="str">
        <f>$H$37</f>
        <v>1（雑魚）</v>
      </c>
      <c r="B37" s="748"/>
      <c r="C37" s="749"/>
      <c r="D37" s="167">
        <f>$I$37</f>
        <v>24</v>
      </c>
      <c r="E37" s="168">
        <f>$J$37</f>
        <v>22</v>
      </c>
      <c r="F37" s="168">
        <f>$K$37</f>
        <v>24</v>
      </c>
      <c r="G37" s="169">
        <f>$L$37</f>
        <v>20</v>
      </c>
      <c r="H37" s="170" t="s">
        <v>216</v>
      </c>
      <c r="I37" s="173">
        <v>24</v>
      </c>
      <c r="J37" s="173">
        <v>22</v>
      </c>
      <c r="K37" s="173">
        <v>24</v>
      </c>
      <c r="L37" s="173">
        <v>20</v>
      </c>
    </row>
    <row r="38" spans="1:12" ht="14.25" thickBot="1">
      <c r="A38" s="125" t="s">
        <v>179</v>
      </c>
      <c r="E38" s="89"/>
    </row>
    <row r="39" spans="1:12" s="287" customFormat="1" ht="18.75" customHeight="1" thickBot="1">
      <c r="A39" s="772" t="str">
        <f>$B$35</f>
        <v>曖昧なる群のシャドウ</v>
      </c>
      <c r="B39" s="773"/>
      <c r="C39" s="773"/>
      <c r="D39" s="259" t="s">
        <v>180</v>
      </c>
      <c r="E39" s="55" t="s">
        <v>487</v>
      </c>
      <c r="F39" s="333" t="s">
        <v>488</v>
      </c>
      <c r="G39"/>
      <c r="H39" s="288"/>
      <c r="I39" s="288"/>
    </row>
    <row r="40" spans="1:12" s="287" customFormat="1" ht="23.25" customHeight="1">
      <c r="A40" s="753" t="s">
        <v>498</v>
      </c>
      <c r="B40" s="69" t="s">
        <v>113</v>
      </c>
      <c r="C40" s="774" t="str">
        <f>$K$8</f>
        <v>反応</v>
      </c>
      <c r="D40" s="67" t="str">
        <f>$I$9 &amp; "+1d20"</f>
        <v>13+1d20</v>
      </c>
      <c r="E40" s="67" t="str">
        <f>$I$9 &amp; "+1d20"</f>
        <v>13+1d20</v>
      </c>
      <c r="F40" s="68" t="str">
        <f>$I$9+1 &amp; "+1d20"</f>
        <v>14+1d20</v>
      </c>
      <c r="G40"/>
    </row>
    <row r="41" spans="1:12" s="287" customFormat="1" ht="23.25" customHeight="1">
      <c r="A41" s="754"/>
      <c r="B41" s="303" t="s">
        <v>1</v>
      </c>
      <c r="C41" s="775"/>
      <c r="D41" s="304" t="str">
        <f>2+$I$9 &amp; "+1d20"</f>
        <v>15+1d20</v>
      </c>
      <c r="E41" s="304" t="str">
        <f>2+$I$9 &amp; "+1d20"</f>
        <v>15+1d20</v>
      </c>
      <c r="F41" s="305" t="str">
        <f>2+$I$9+1 &amp; "+1d20"</f>
        <v>16+1d20</v>
      </c>
      <c r="G41"/>
    </row>
    <row r="42" spans="1:12" s="287" customFormat="1" ht="23.25" customHeight="1">
      <c r="A42" s="754"/>
      <c r="B42" s="306" t="s">
        <v>489</v>
      </c>
      <c r="C42" s="775"/>
      <c r="D42" s="307" t="str">
        <f>3+$I$9 &amp; "+1d20"</f>
        <v>16+1d20</v>
      </c>
      <c r="E42" s="307" t="str">
        <f>3+$I$9 &amp; "+1d20"</f>
        <v>16+1d20</v>
      </c>
      <c r="F42" s="308" t="str">
        <f>3+$I$9+1 &amp; "+1d20"</f>
        <v>17+1d20</v>
      </c>
      <c r="G42"/>
    </row>
    <row r="43" spans="1:12" s="287" customFormat="1" ht="23.25" customHeight="1" thickBot="1">
      <c r="A43" s="755"/>
      <c r="B43" s="309" t="s">
        <v>1</v>
      </c>
      <c r="C43" s="776"/>
      <c r="D43" s="310" t="str">
        <f>3+2+$I$9 &amp; "+1d20"</f>
        <v>18+1d20</v>
      </c>
      <c r="E43" s="310" t="str">
        <f>3+2+$I$9 &amp; "+1d20"</f>
        <v>18+1d20</v>
      </c>
      <c r="F43" s="311" t="str">
        <f>3+2+$I$9+1 &amp; "+1d20"</f>
        <v>19+1d20</v>
      </c>
      <c r="G43"/>
    </row>
    <row r="44" spans="1:12" s="287" customFormat="1" ht="23.25" customHeight="1" thickBot="1">
      <c r="A44" s="777" t="s">
        <v>182</v>
      </c>
      <c r="B44" s="778"/>
      <c r="C44" s="334" t="str">
        <f>IF($I$15 = 0,"", $I$15)</f>
        <v>死霊</v>
      </c>
      <c r="D44" s="179">
        <f>$I$11</f>
        <v>9</v>
      </c>
      <c r="E44" s="179">
        <f>$I$11</f>
        <v>9</v>
      </c>
      <c r="F44" s="180">
        <f>$I$11</f>
        <v>9</v>
      </c>
      <c r="G44"/>
    </row>
    <row r="45" spans="1:12" ht="8.25" customHeight="1">
      <c r="A45" s="523"/>
      <c r="B45" s="523"/>
      <c r="C45" s="523"/>
      <c r="D45" s="523"/>
      <c r="E45" s="523"/>
      <c r="F45" s="523"/>
      <c r="G45" s="523"/>
    </row>
    <row r="46" spans="1:12" ht="13.5" customHeight="1">
      <c r="A46" s="619" t="s">
        <v>48</v>
      </c>
      <c r="B46" s="620"/>
      <c r="C46" s="620"/>
      <c r="D46" s="620"/>
      <c r="E46" s="620"/>
      <c r="F46" s="620"/>
      <c r="G46" s="621"/>
    </row>
    <row r="47" spans="1:12" s="284" customFormat="1" ht="13.5" customHeight="1">
      <c r="A47" s="645"/>
      <c r="B47" s="646"/>
      <c r="C47" s="646"/>
      <c r="D47" s="646"/>
      <c r="E47" s="646"/>
      <c r="F47" s="646"/>
      <c r="G47" s="647"/>
      <c r="H47" s="283"/>
      <c r="I47" s="283"/>
      <c r="J47" s="283"/>
      <c r="K47" s="283"/>
    </row>
    <row r="48" spans="1:12" s="284" customFormat="1" ht="13.5" customHeight="1">
      <c r="A48" s="645" t="s">
        <v>586</v>
      </c>
      <c r="B48" s="646"/>
      <c r="C48" s="646"/>
      <c r="D48" s="646"/>
      <c r="E48" s="646"/>
      <c r="F48" s="646"/>
      <c r="G48" s="647"/>
      <c r="H48" s="283"/>
      <c r="I48" s="283"/>
      <c r="J48" s="283"/>
      <c r="K48" s="283"/>
    </row>
    <row r="49" spans="1:13" s="284" customFormat="1" ht="13.5" customHeight="1">
      <c r="A49" s="645" t="s">
        <v>585</v>
      </c>
      <c r="B49" s="646"/>
      <c r="C49" s="646"/>
      <c r="D49" s="646"/>
      <c r="E49" s="646"/>
      <c r="F49" s="646"/>
      <c r="G49" s="647"/>
      <c r="H49" s="283"/>
      <c r="I49" s="283"/>
      <c r="J49" s="283"/>
      <c r="K49" s="283"/>
    </row>
    <row r="50" spans="1:13" s="284" customFormat="1" ht="13.5" customHeight="1">
      <c r="A50" s="645" t="s">
        <v>877</v>
      </c>
      <c r="B50" s="646"/>
      <c r="C50" s="646"/>
      <c r="D50" s="646"/>
      <c r="E50" s="646"/>
      <c r="F50" s="646"/>
      <c r="G50" s="647"/>
      <c r="H50" s="283"/>
      <c r="I50" s="283"/>
      <c r="J50" s="283"/>
      <c r="K50" s="283"/>
    </row>
    <row r="51" spans="1:13" s="111" customFormat="1" ht="13.5" customHeight="1">
      <c r="A51" s="645" t="s">
        <v>209</v>
      </c>
      <c r="B51" s="646"/>
      <c r="C51" s="646"/>
      <c r="D51" s="646"/>
      <c r="E51" s="646"/>
      <c r="F51" s="646"/>
      <c r="G51" s="647"/>
      <c r="H51" s="110"/>
      <c r="I51" s="110"/>
      <c r="J51" s="110"/>
      <c r="K51" s="110"/>
    </row>
    <row r="52" spans="1:13" s="88" customFormat="1" ht="21">
      <c r="A52" s="725" t="str">
        <f>$B$1</f>
        <v>ｱｲﾃﾑ</v>
      </c>
      <c r="B52" s="727"/>
      <c r="C52" s="121" t="s">
        <v>39</v>
      </c>
      <c r="D52" s="122" t="str">
        <f>$E$1</f>
        <v>一日毎</v>
      </c>
      <c r="E52" s="725" t="str">
        <f>$B$2</f>
        <v>フラスク・オヴ・ザ・ウェイルド・ホード</v>
      </c>
      <c r="F52" s="726"/>
      <c r="G52" s="727"/>
      <c r="L52" s="133"/>
      <c r="M52" s="133"/>
    </row>
  </sheetData>
  <mergeCells count="52">
    <mergeCell ref="B20:G20"/>
    <mergeCell ref="B21:G21"/>
    <mergeCell ref="B22:G22"/>
    <mergeCell ref="B23:G23"/>
    <mergeCell ref="H4:L4"/>
    <mergeCell ref="B17:G17"/>
    <mergeCell ref="B18:G18"/>
    <mergeCell ref="B19:G19"/>
    <mergeCell ref="B11:G11"/>
    <mergeCell ref="J9:K9"/>
    <mergeCell ref="B12:G12"/>
    <mergeCell ref="J11:K11"/>
    <mergeCell ref="B13:G13"/>
    <mergeCell ref="B14:G14"/>
    <mergeCell ref="B15:G15"/>
    <mergeCell ref="B16:G16"/>
    <mergeCell ref="B6:D6"/>
    <mergeCell ref="B7:D7"/>
    <mergeCell ref="B8:G8"/>
    <mergeCell ref="B9:G9"/>
    <mergeCell ref="B10:G10"/>
    <mergeCell ref="B1:C1"/>
    <mergeCell ref="F1:G1"/>
    <mergeCell ref="B2:G2"/>
    <mergeCell ref="B4:G4"/>
    <mergeCell ref="B5:G5"/>
    <mergeCell ref="A37:C37"/>
    <mergeCell ref="B24:G24"/>
    <mergeCell ref="B25:G25"/>
    <mergeCell ref="B28:G28"/>
    <mergeCell ref="B33:G33"/>
    <mergeCell ref="B35:G35"/>
    <mergeCell ref="A36:C36"/>
    <mergeCell ref="B32:G32"/>
    <mergeCell ref="B27:G27"/>
    <mergeCell ref="B29:G29"/>
    <mergeCell ref="B26:G26"/>
    <mergeCell ref="B31:G31"/>
    <mergeCell ref="B30:G30"/>
    <mergeCell ref="A39:C39"/>
    <mergeCell ref="A40:A43"/>
    <mergeCell ref="C40:C43"/>
    <mergeCell ref="E52:G52"/>
    <mergeCell ref="A46:G46"/>
    <mergeCell ref="A51:G51"/>
    <mergeCell ref="A45:G45"/>
    <mergeCell ref="A47:G47"/>
    <mergeCell ref="A48:G48"/>
    <mergeCell ref="A49:G49"/>
    <mergeCell ref="A50:G50"/>
    <mergeCell ref="A52:B52"/>
    <mergeCell ref="A44:B44"/>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legacyDrawing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基本!$C$27:$C$37</xm:f>
          </x14:formula1>
          <xm:sqref>I15</xm:sqref>
        </x14:dataValidation>
        <x14:dataValidation type="list" allowBlank="1" showInputMessage="1" showErrorMessage="1">
          <x14:formula1>
            <xm:f>基本!$B$27:$B$31</xm:f>
          </x14:formula1>
          <xm:sqref>I6</xm:sqref>
        </x14:dataValidation>
        <x14:dataValidation type="list" allowBlank="1" showInputMessage="1" showErrorMessage="1">
          <x14:formula1>
            <xm:f>基本!$A$27:$A$33</xm:f>
          </x14:formula1>
          <xm:sqref>I5</xm:sqref>
        </x14:dataValidation>
        <x14:dataValidation type="list" allowBlank="1" showInputMessage="1" showErrorMessage="1">
          <x14:formula1>
            <xm:f>基本!$A$16:$A$19</xm:f>
          </x14:formula1>
          <xm:sqref>K8</xm:sqref>
        </x14:dataValidation>
        <x14:dataValidation type="list" allowBlank="1" showInputMessage="1" showErrorMessage="1">
          <x14:formula1>
            <xm:f>基本!$A$5:$A$10</xm:f>
          </x14:formula1>
          <xm:sqref>I8 I10 Q15 K15</xm:sqref>
        </x14:dataValidation>
        <x14:dataValidation type="list" allowBlank="1" showInputMessage="1" showErrorMessage="1">
          <x14:formula1>
            <xm:f>基本!$D$27:$D$31</xm:f>
          </x14:formula1>
          <xm:sqref>I7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zoomScaleNormal="100" workbookViewId="0">
      <selection sqref="A1:G1"/>
    </sheetView>
  </sheetViews>
  <sheetFormatPr defaultRowHeight="13.5"/>
  <cols>
    <col min="1" max="6" width="9" style="287"/>
    <col min="7" max="7" width="33.75" style="287" customWidth="1"/>
    <col min="8" max="16384" width="9" style="287"/>
  </cols>
  <sheetData>
    <row r="1" spans="1:11" ht="17.25">
      <c r="A1" s="533" t="s">
        <v>813</v>
      </c>
      <c r="B1" s="533"/>
      <c r="C1" s="533"/>
      <c r="D1" s="533"/>
      <c r="E1" s="533"/>
      <c r="F1" s="533"/>
      <c r="G1" s="533"/>
    </row>
    <row r="2" spans="1:11" ht="14.25" thickBot="1">
      <c r="A2" s="523"/>
      <c r="B2" s="523"/>
      <c r="C2" s="523"/>
      <c r="D2" s="523"/>
      <c r="E2" s="523"/>
      <c r="F2" s="523"/>
      <c r="G2" s="523"/>
    </row>
    <row r="3" spans="1:11" ht="18.75" customHeight="1">
      <c r="A3" s="534" t="s">
        <v>600</v>
      </c>
      <c r="B3" s="535"/>
      <c r="C3" s="535"/>
      <c r="D3" s="535"/>
      <c r="E3" s="535"/>
      <c r="F3" s="535"/>
      <c r="G3" s="536"/>
      <c r="H3" s="288"/>
    </row>
    <row r="4" spans="1:11" ht="13.5" customHeight="1">
      <c r="A4" s="522"/>
      <c r="B4" s="523"/>
      <c r="C4" s="523"/>
      <c r="D4" s="523"/>
      <c r="E4" s="523"/>
      <c r="F4" s="523"/>
      <c r="G4" s="524"/>
      <c r="H4" s="288"/>
      <c r="I4" s="288"/>
      <c r="J4" s="288"/>
      <c r="K4" s="288"/>
    </row>
    <row r="5" spans="1:11" ht="13.5" customHeight="1">
      <c r="A5" s="522" t="s">
        <v>601</v>
      </c>
      <c r="B5" s="523"/>
      <c r="C5" s="523"/>
      <c r="D5" s="523"/>
      <c r="E5" s="523"/>
      <c r="F5" s="523"/>
      <c r="G5" s="524"/>
      <c r="H5" s="288"/>
      <c r="I5" s="288"/>
      <c r="J5" s="288"/>
      <c r="K5" s="288"/>
    </row>
    <row r="6" spans="1:11">
      <c r="A6" s="522" t="s">
        <v>1002</v>
      </c>
      <c r="B6" s="523"/>
      <c r="C6" s="523"/>
      <c r="D6" s="523"/>
      <c r="E6" s="523"/>
      <c r="F6" s="523"/>
      <c r="G6" s="524"/>
    </row>
    <row r="7" spans="1:11">
      <c r="A7" s="522" t="s">
        <v>602</v>
      </c>
      <c r="B7" s="523"/>
      <c r="C7" s="523"/>
      <c r="D7" s="523"/>
      <c r="E7" s="523"/>
      <c r="F7" s="523"/>
      <c r="G7" s="524"/>
    </row>
    <row r="8" spans="1:11">
      <c r="A8" s="522" t="s">
        <v>603</v>
      </c>
      <c r="B8" s="523"/>
      <c r="C8" s="523"/>
      <c r="D8" s="523"/>
      <c r="E8" s="523"/>
      <c r="F8" s="523"/>
      <c r="G8" s="524"/>
    </row>
    <row r="9" spans="1:11">
      <c r="A9" s="519" t="s">
        <v>604</v>
      </c>
      <c r="B9" s="520"/>
      <c r="C9" s="520"/>
      <c r="D9" s="520"/>
      <c r="E9" s="520"/>
      <c r="F9" s="520"/>
      <c r="G9" s="521"/>
    </row>
    <row r="10" spans="1:11">
      <c r="A10" s="519" t="s">
        <v>882</v>
      </c>
      <c r="B10" s="520"/>
      <c r="C10" s="520"/>
      <c r="D10" s="520"/>
      <c r="E10" s="520"/>
      <c r="F10" s="520"/>
      <c r="G10" s="521"/>
    </row>
    <row r="11" spans="1:11">
      <c r="A11" s="519" t="s">
        <v>888</v>
      </c>
      <c r="B11" s="520"/>
      <c r="C11" s="520"/>
      <c r="D11" s="520"/>
      <c r="E11" s="520"/>
      <c r="F11" s="520"/>
      <c r="G11" s="521"/>
    </row>
    <row r="12" spans="1:11">
      <c r="A12" s="522"/>
      <c r="B12" s="523"/>
      <c r="C12" s="523"/>
      <c r="D12" s="523"/>
      <c r="E12" s="523"/>
      <c r="F12" s="523"/>
      <c r="G12" s="524"/>
    </row>
    <row r="13" spans="1:11">
      <c r="A13" s="522" t="s">
        <v>883</v>
      </c>
      <c r="B13" s="523"/>
      <c r="C13" s="523"/>
      <c r="D13" s="523"/>
      <c r="E13" s="523"/>
      <c r="F13" s="523"/>
      <c r="G13" s="524"/>
    </row>
    <row r="14" spans="1:11">
      <c r="A14" s="522" t="s">
        <v>606</v>
      </c>
      <c r="B14" s="523"/>
      <c r="C14" s="523"/>
      <c r="D14" s="523"/>
      <c r="E14" s="523"/>
      <c r="F14" s="523"/>
      <c r="G14" s="524"/>
    </row>
    <row r="15" spans="1:11">
      <c r="A15" s="522" t="s">
        <v>605</v>
      </c>
      <c r="B15" s="523"/>
      <c r="C15" s="523"/>
      <c r="D15" s="523"/>
      <c r="E15" s="523"/>
      <c r="F15" s="523"/>
      <c r="G15" s="524"/>
    </row>
    <row r="16" spans="1:11" ht="14.25" thickBot="1">
      <c r="A16" s="526"/>
      <c r="B16" s="527"/>
      <c r="C16" s="527"/>
      <c r="D16" s="527"/>
      <c r="E16" s="527"/>
      <c r="F16" s="527"/>
      <c r="G16" s="528"/>
    </row>
    <row r="17" spans="1:11" ht="14.25" thickBot="1">
      <c r="A17" s="529"/>
      <c r="B17" s="529"/>
      <c r="C17" s="529"/>
      <c r="D17" s="529"/>
      <c r="E17" s="529"/>
      <c r="F17" s="529"/>
      <c r="G17" s="529"/>
    </row>
    <row r="18" spans="1:11" ht="18.75" customHeight="1">
      <c r="A18" s="534" t="s">
        <v>887</v>
      </c>
      <c r="B18" s="535"/>
      <c r="C18" s="535"/>
      <c r="D18" s="535"/>
      <c r="E18" s="535"/>
      <c r="F18" s="535"/>
      <c r="G18" s="536"/>
      <c r="H18" s="288"/>
    </row>
    <row r="19" spans="1:11" ht="13.5" customHeight="1">
      <c r="A19" s="522"/>
      <c r="B19" s="523"/>
      <c r="C19" s="523"/>
      <c r="D19" s="523"/>
      <c r="E19" s="523"/>
      <c r="F19" s="523"/>
      <c r="G19" s="524"/>
      <c r="H19" s="288"/>
      <c r="I19" s="288"/>
      <c r="J19" s="288"/>
      <c r="K19" s="288"/>
    </row>
    <row r="20" spans="1:11" ht="13.5" customHeight="1">
      <c r="A20" s="519" t="s">
        <v>886</v>
      </c>
      <c r="B20" s="520"/>
      <c r="C20" s="520"/>
      <c r="D20" s="520"/>
      <c r="E20" s="520"/>
      <c r="F20" s="520"/>
      <c r="G20" s="521"/>
      <c r="H20" s="288"/>
      <c r="I20" s="288"/>
      <c r="J20" s="288"/>
      <c r="K20" s="288"/>
    </row>
    <row r="21" spans="1:11">
      <c r="A21" s="522" t="s">
        <v>885</v>
      </c>
      <c r="B21" s="523"/>
      <c r="C21" s="523"/>
      <c r="D21" s="523"/>
      <c r="E21" s="523"/>
      <c r="F21" s="523"/>
      <c r="G21" s="524"/>
    </row>
    <row r="22" spans="1:11">
      <c r="A22" s="522" t="s">
        <v>884</v>
      </c>
      <c r="B22" s="523"/>
      <c r="C22" s="523"/>
      <c r="D22" s="523"/>
      <c r="E22" s="523"/>
      <c r="F22" s="523"/>
      <c r="G22" s="524"/>
    </row>
    <row r="23" spans="1:11">
      <c r="A23" s="522" t="s">
        <v>889</v>
      </c>
      <c r="B23" s="523"/>
      <c r="C23" s="523"/>
      <c r="D23" s="523"/>
      <c r="E23" s="523"/>
      <c r="F23" s="523"/>
      <c r="G23" s="524"/>
    </row>
    <row r="24" spans="1:11">
      <c r="A24" s="522" t="s">
        <v>900</v>
      </c>
      <c r="B24" s="523"/>
      <c r="C24" s="523"/>
      <c r="D24" s="523"/>
      <c r="E24" s="523"/>
      <c r="F24" s="523"/>
      <c r="G24" s="524"/>
    </row>
    <row r="25" spans="1:11">
      <c r="A25" s="522" t="s">
        <v>891</v>
      </c>
      <c r="B25" s="523"/>
      <c r="C25" s="523"/>
      <c r="D25" s="523"/>
      <c r="E25" s="523"/>
      <c r="F25" s="523"/>
      <c r="G25" s="524"/>
    </row>
    <row r="26" spans="1:11">
      <c r="A26" s="522" t="s">
        <v>890</v>
      </c>
      <c r="B26" s="523"/>
      <c r="C26" s="523"/>
      <c r="D26" s="523"/>
      <c r="E26" s="523"/>
      <c r="F26" s="523"/>
      <c r="G26" s="524"/>
    </row>
    <row r="27" spans="1:11">
      <c r="A27" s="522" t="s">
        <v>1003</v>
      </c>
      <c r="B27" s="523"/>
      <c r="C27" s="523"/>
      <c r="D27" s="523"/>
      <c r="E27" s="523"/>
      <c r="F27" s="523"/>
      <c r="G27" s="524"/>
    </row>
    <row r="28" spans="1:11" ht="14.25" thickBot="1">
      <c r="A28" s="526"/>
      <c r="B28" s="527"/>
      <c r="C28" s="527"/>
      <c r="D28" s="527"/>
      <c r="E28" s="527"/>
      <c r="F28" s="527"/>
      <c r="G28" s="528"/>
    </row>
    <row r="29" spans="1:11" ht="14.25" thickBot="1">
      <c r="A29" s="529"/>
      <c r="B29" s="529"/>
      <c r="C29" s="529"/>
      <c r="D29" s="529"/>
      <c r="E29" s="529"/>
      <c r="F29" s="529"/>
      <c r="G29" s="529"/>
    </row>
    <row r="30" spans="1:11" ht="18.75" customHeight="1">
      <c r="A30" s="534" t="s">
        <v>899</v>
      </c>
      <c r="B30" s="535"/>
      <c r="C30" s="535"/>
      <c r="D30" s="535"/>
      <c r="E30" s="535"/>
      <c r="F30" s="535"/>
      <c r="G30" s="536"/>
      <c r="H30" s="288"/>
    </row>
    <row r="31" spans="1:11" ht="13.5" customHeight="1">
      <c r="A31" s="522"/>
      <c r="B31" s="523"/>
      <c r="C31" s="523"/>
      <c r="D31" s="523"/>
      <c r="E31" s="523"/>
      <c r="F31" s="523"/>
      <c r="G31" s="524"/>
      <c r="H31" s="288"/>
      <c r="I31" s="288"/>
      <c r="J31" s="288"/>
      <c r="K31" s="288"/>
    </row>
    <row r="32" spans="1:11" ht="13.5" customHeight="1">
      <c r="A32" s="519" t="s">
        <v>892</v>
      </c>
      <c r="B32" s="520"/>
      <c r="C32" s="520"/>
      <c r="D32" s="520"/>
      <c r="E32" s="520"/>
      <c r="F32" s="520"/>
      <c r="G32" s="521"/>
      <c r="H32" s="288"/>
      <c r="I32" s="288"/>
      <c r="J32" s="288"/>
      <c r="K32" s="288"/>
    </row>
    <row r="33" spans="1:11">
      <c r="A33" s="522" t="s">
        <v>893</v>
      </c>
      <c r="B33" s="523"/>
      <c r="C33" s="523"/>
      <c r="D33" s="523"/>
      <c r="E33" s="523"/>
      <c r="F33" s="523"/>
      <c r="G33" s="524"/>
    </row>
    <row r="34" spans="1:11">
      <c r="A34" s="522" t="s">
        <v>894</v>
      </c>
      <c r="B34" s="523"/>
      <c r="C34" s="523"/>
      <c r="D34" s="523"/>
      <c r="E34" s="523"/>
      <c r="F34" s="523"/>
      <c r="G34" s="524"/>
    </row>
    <row r="35" spans="1:11">
      <c r="A35" s="522" t="s">
        <v>895</v>
      </c>
      <c r="B35" s="523"/>
      <c r="C35" s="523"/>
      <c r="D35" s="523"/>
      <c r="E35" s="523"/>
      <c r="F35" s="523"/>
      <c r="G35" s="524"/>
    </row>
    <row r="36" spans="1:11">
      <c r="A36" s="519" t="s">
        <v>896</v>
      </c>
      <c r="B36" s="520"/>
      <c r="C36" s="520"/>
      <c r="D36" s="520"/>
      <c r="E36" s="520"/>
      <c r="F36" s="520"/>
      <c r="G36" s="521"/>
    </row>
    <row r="37" spans="1:11" ht="13.5" customHeight="1">
      <c r="A37" s="522" t="s">
        <v>897</v>
      </c>
      <c r="B37" s="523"/>
      <c r="C37" s="523"/>
      <c r="D37" s="523"/>
      <c r="E37" s="523"/>
      <c r="F37" s="523"/>
      <c r="G37" s="524"/>
      <c r="H37" s="288"/>
      <c r="I37" s="288"/>
      <c r="J37" s="288"/>
      <c r="K37" s="288"/>
    </row>
    <row r="38" spans="1:11" ht="13.5" customHeight="1">
      <c r="A38" s="519" t="s">
        <v>898</v>
      </c>
      <c r="B38" s="520"/>
      <c r="C38" s="520"/>
      <c r="D38" s="520"/>
      <c r="E38" s="520"/>
      <c r="F38" s="520"/>
      <c r="G38" s="521"/>
      <c r="H38" s="288"/>
      <c r="I38" s="288"/>
      <c r="J38" s="288"/>
      <c r="K38" s="288"/>
    </row>
    <row r="39" spans="1:11" ht="14.25" thickBot="1">
      <c r="A39" s="526"/>
      <c r="B39" s="527"/>
      <c r="C39" s="527"/>
      <c r="D39" s="527"/>
      <c r="E39" s="527"/>
      <c r="F39" s="527"/>
      <c r="G39" s="528"/>
    </row>
    <row r="40" spans="1:11" ht="13.5" customHeight="1" thickBot="1">
      <c r="A40" s="523"/>
      <c r="B40" s="523"/>
      <c r="C40" s="523"/>
      <c r="D40" s="523"/>
      <c r="E40" s="523"/>
      <c r="F40" s="523"/>
      <c r="G40" s="523"/>
      <c r="H40" s="288"/>
      <c r="I40" s="288"/>
      <c r="J40" s="288"/>
      <c r="K40" s="288"/>
    </row>
    <row r="41" spans="1:11" ht="18.75" customHeight="1">
      <c r="A41" s="534" t="s">
        <v>973</v>
      </c>
      <c r="B41" s="535"/>
      <c r="C41" s="535"/>
      <c r="D41" s="535"/>
      <c r="E41" s="535"/>
      <c r="F41" s="535"/>
      <c r="G41" s="536"/>
      <c r="H41" s="288"/>
    </row>
    <row r="42" spans="1:11" ht="13.5" customHeight="1">
      <c r="A42" s="522" t="s">
        <v>440</v>
      </c>
      <c r="B42" s="523"/>
      <c r="C42" s="523"/>
      <c r="D42" s="523"/>
      <c r="E42" s="523"/>
      <c r="F42" s="523"/>
      <c r="G42" s="524"/>
      <c r="H42" s="288"/>
      <c r="I42" s="288"/>
      <c r="J42" s="288"/>
      <c r="K42" s="288"/>
    </row>
    <row r="43" spans="1:11" ht="13.5" customHeight="1">
      <c r="A43" s="519" t="s">
        <v>515</v>
      </c>
      <c r="B43" s="520"/>
      <c r="C43" s="520"/>
      <c r="D43" s="520"/>
      <c r="E43" s="520"/>
      <c r="F43" s="520"/>
      <c r="G43" s="521"/>
      <c r="H43" s="288"/>
      <c r="I43" s="288"/>
      <c r="J43" s="288"/>
      <c r="K43" s="288"/>
    </row>
    <row r="44" spans="1:11" ht="13.5" customHeight="1">
      <c r="A44" s="519" t="s">
        <v>516</v>
      </c>
      <c r="B44" s="520"/>
      <c r="C44" s="520"/>
      <c r="D44" s="520"/>
      <c r="E44" s="520"/>
      <c r="F44" s="520"/>
      <c r="G44" s="521"/>
      <c r="H44" s="288"/>
      <c r="I44" s="288"/>
      <c r="J44" s="288"/>
      <c r="K44" s="288"/>
    </row>
    <row r="45" spans="1:11" ht="13.5" customHeight="1">
      <c r="A45" s="522" t="s">
        <v>520</v>
      </c>
      <c r="B45" s="523"/>
      <c r="C45" s="523"/>
      <c r="D45" s="523"/>
      <c r="E45" s="523"/>
      <c r="F45" s="523"/>
      <c r="G45" s="524"/>
    </row>
    <row r="46" spans="1:11" ht="13.5" customHeight="1">
      <c r="A46" s="522"/>
      <c r="B46" s="523"/>
      <c r="C46" s="523"/>
      <c r="D46" s="523"/>
      <c r="E46" s="523"/>
      <c r="F46" s="523"/>
      <c r="G46" s="524"/>
    </row>
    <row r="47" spans="1:11" ht="13.5" customHeight="1">
      <c r="A47" s="522" t="s">
        <v>607</v>
      </c>
      <c r="B47" s="523"/>
      <c r="C47" s="523"/>
      <c r="D47" s="523"/>
      <c r="E47" s="523"/>
      <c r="F47" s="523"/>
      <c r="G47" s="524"/>
      <c r="H47" s="288"/>
      <c r="I47" s="288"/>
      <c r="J47" s="288"/>
      <c r="K47" s="288"/>
    </row>
    <row r="48" spans="1:11" ht="13.5" customHeight="1">
      <c r="A48" s="519" t="s">
        <v>608</v>
      </c>
      <c r="B48" s="520"/>
      <c r="C48" s="520"/>
      <c r="D48" s="520"/>
      <c r="E48" s="520"/>
      <c r="F48" s="520"/>
      <c r="G48" s="521"/>
      <c r="H48" s="288"/>
      <c r="I48" s="288"/>
      <c r="J48" s="288"/>
      <c r="K48" s="288"/>
    </row>
    <row r="49" spans="1:11" ht="13.5" customHeight="1">
      <c r="A49" s="519" t="s">
        <v>609</v>
      </c>
      <c r="B49" s="520"/>
      <c r="C49" s="520"/>
      <c r="D49" s="520"/>
      <c r="E49" s="520"/>
      <c r="F49" s="520"/>
      <c r="G49" s="521"/>
      <c r="H49" s="288"/>
      <c r="I49" s="288"/>
      <c r="J49" s="288"/>
      <c r="K49" s="288"/>
    </row>
    <row r="50" spans="1:11" ht="13.5" customHeight="1">
      <c r="A50" s="522"/>
      <c r="B50" s="523"/>
      <c r="C50" s="523"/>
      <c r="D50" s="523"/>
      <c r="E50" s="523"/>
      <c r="F50" s="523"/>
      <c r="G50" s="524"/>
    </row>
    <row r="51" spans="1:11" ht="13.5" customHeight="1">
      <c r="A51" s="522" t="s">
        <v>1004</v>
      </c>
      <c r="B51" s="523"/>
      <c r="C51" s="523"/>
      <c r="D51" s="523"/>
      <c r="E51" s="523"/>
      <c r="F51" s="523"/>
      <c r="G51" s="524"/>
    </row>
    <row r="52" spans="1:11" ht="13.5" customHeight="1">
      <c r="A52" s="522" t="s">
        <v>1005</v>
      </c>
      <c r="B52" s="523"/>
      <c r="C52" s="523"/>
      <c r="D52" s="523"/>
      <c r="E52" s="523"/>
      <c r="F52" s="523"/>
      <c r="G52" s="524"/>
    </row>
    <row r="53" spans="1:11" ht="13.5" customHeight="1">
      <c r="A53" s="522" t="s">
        <v>610</v>
      </c>
      <c r="B53" s="523"/>
      <c r="C53" s="523"/>
      <c r="D53" s="523"/>
      <c r="E53" s="523"/>
      <c r="F53" s="523"/>
      <c r="G53" s="524"/>
    </row>
    <row r="54" spans="1:11" ht="13.5" customHeight="1" thickBot="1">
      <c r="A54" s="526"/>
      <c r="B54" s="527"/>
      <c r="C54" s="527"/>
      <c r="D54" s="527"/>
      <c r="E54" s="527"/>
      <c r="F54" s="527"/>
      <c r="G54" s="528"/>
      <c r="H54" s="288"/>
      <c r="I54" s="288"/>
      <c r="J54" s="288"/>
      <c r="K54" s="288"/>
    </row>
    <row r="55" spans="1:11">
      <c r="A55" s="366"/>
      <c r="B55" s="366"/>
      <c r="C55" s="366"/>
      <c r="D55" s="366"/>
      <c r="E55" s="366"/>
      <c r="F55" s="366"/>
      <c r="G55" s="366"/>
    </row>
    <row r="56" spans="1:11">
      <c r="A56" s="366"/>
      <c r="B56" s="366"/>
      <c r="C56" s="366"/>
      <c r="D56" s="366"/>
      <c r="E56" s="366"/>
      <c r="F56" s="366"/>
      <c r="G56" s="366"/>
    </row>
  </sheetData>
  <mergeCells count="54">
    <mergeCell ref="A1:G1"/>
    <mergeCell ref="A17:G17"/>
    <mergeCell ref="A24:G24"/>
    <mergeCell ref="A35:G35"/>
    <mergeCell ref="A15:G15"/>
    <mergeCell ref="A30:G30"/>
    <mergeCell ref="A31:G31"/>
    <mergeCell ref="A32:G32"/>
    <mergeCell ref="A34:G34"/>
    <mergeCell ref="A33:G33"/>
    <mergeCell ref="A3:G3"/>
    <mergeCell ref="A22:G22"/>
    <mergeCell ref="A7:G7"/>
    <mergeCell ref="A8:G8"/>
    <mergeCell ref="A9:G9"/>
    <mergeCell ref="A21:G21"/>
    <mergeCell ref="A2:G2"/>
    <mergeCell ref="A26:G26"/>
    <mergeCell ref="A25:G25"/>
    <mergeCell ref="A27:G27"/>
    <mergeCell ref="A37:G37"/>
    <mergeCell ref="A36:G36"/>
    <mergeCell ref="A10:G10"/>
    <mergeCell ref="A23:G23"/>
    <mergeCell ref="A11:G11"/>
    <mergeCell ref="A28:G28"/>
    <mergeCell ref="A20:G20"/>
    <mergeCell ref="A4:G4"/>
    <mergeCell ref="A5:G5"/>
    <mergeCell ref="A6:G6"/>
    <mergeCell ref="A18:G18"/>
    <mergeCell ref="A19:G19"/>
    <mergeCell ref="A42:G42"/>
    <mergeCell ref="A40:G40"/>
    <mergeCell ref="A39:G39"/>
    <mergeCell ref="A38:G38"/>
    <mergeCell ref="A13:G13"/>
    <mergeCell ref="A29:G29"/>
    <mergeCell ref="A51:G51"/>
    <mergeCell ref="A52:G52"/>
    <mergeCell ref="A54:G54"/>
    <mergeCell ref="A16:G16"/>
    <mergeCell ref="A12:G12"/>
    <mergeCell ref="A14:G14"/>
    <mergeCell ref="A41:G41"/>
    <mergeCell ref="A53:G53"/>
    <mergeCell ref="A43:G43"/>
    <mergeCell ref="A44:G44"/>
    <mergeCell ref="A45:G45"/>
    <mergeCell ref="A50:G50"/>
    <mergeCell ref="A47:G47"/>
    <mergeCell ref="A48:G48"/>
    <mergeCell ref="A49:G49"/>
    <mergeCell ref="A46:G46"/>
  </mergeCells>
  <phoneticPr fontI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60"/>
  <sheetViews>
    <sheetView zoomScaleNormal="100" workbookViewId="0">
      <selection activeCell="B2" sqref="B2:G2"/>
    </sheetView>
  </sheetViews>
  <sheetFormatPr defaultRowHeight="13.5"/>
  <cols>
    <col min="1" max="1" width="7.875" style="287" customWidth="1"/>
    <col min="2" max="2" width="8.5" style="287" customWidth="1"/>
    <col min="3" max="3" width="6.625" style="287" customWidth="1"/>
    <col min="4" max="4" width="15.75" style="287" customWidth="1"/>
    <col min="5" max="6" width="15.75" style="288" customWidth="1"/>
    <col min="7" max="7" width="18.25" style="288" customWidth="1"/>
    <col min="8" max="8" width="17.375" style="288" customWidth="1"/>
    <col min="9" max="9" width="14.625" style="288" customWidth="1"/>
    <col min="10" max="10" width="8.375" style="288" customWidth="1"/>
    <col min="11" max="11" width="7.5" style="288" customWidth="1"/>
    <col min="12" max="13" width="7.875" style="287" customWidth="1"/>
    <col min="14" max="14" width="9.25" style="287" customWidth="1"/>
    <col min="15" max="15" width="12.375" style="287" customWidth="1"/>
    <col min="16" max="16384" width="9" style="287"/>
  </cols>
  <sheetData>
    <row r="1" spans="1:12" ht="21">
      <c r="A1" s="90"/>
      <c r="B1" s="782" t="s">
        <v>468</v>
      </c>
      <c r="C1" s="783"/>
      <c r="D1" s="92" t="s">
        <v>39</v>
      </c>
      <c r="E1" s="91" t="s">
        <v>40</v>
      </c>
      <c r="F1" s="625"/>
      <c r="G1" s="626"/>
      <c r="H1" s="244" t="s">
        <v>54</v>
      </c>
    </row>
    <row r="2" spans="1:12" ht="24.75" customHeight="1">
      <c r="A2" s="92" t="s">
        <v>0</v>
      </c>
      <c r="B2" s="627" t="s">
        <v>570</v>
      </c>
      <c r="C2" s="627"/>
      <c r="D2" s="627"/>
      <c r="E2" s="627"/>
      <c r="F2" s="627"/>
      <c r="G2" s="627"/>
      <c r="H2" s="244" t="s">
        <v>55</v>
      </c>
    </row>
    <row r="3" spans="1:12" ht="19.5" customHeight="1">
      <c r="A3" s="246" t="s">
        <v>47</v>
      </c>
      <c r="B3" s="288"/>
      <c r="C3" s="288"/>
      <c r="D3" s="288"/>
      <c r="I3" s="244"/>
    </row>
    <row r="4" spans="1:12">
      <c r="A4" s="260" t="s">
        <v>45</v>
      </c>
      <c r="B4" s="628" t="s">
        <v>469</v>
      </c>
      <c r="C4" s="629"/>
      <c r="D4" s="629"/>
      <c r="E4" s="629"/>
      <c r="F4" s="629"/>
      <c r="G4" s="630"/>
      <c r="H4" s="539" t="s">
        <v>339</v>
      </c>
      <c r="I4" s="540"/>
      <c r="J4" s="540"/>
      <c r="K4" s="540"/>
      <c r="L4" s="541"/>
    </row>
    <row r="5" spans="1:12">
      <c r="A5" s="261" t="s">
        <v>38</v>
      </c>
      <c r="B5" s="628" t="s">
        <v>470</v>
      </c>
      <c r="C5" s="629"/>
      <c r="D5" s="629"/>
      <c r="E5" s="629"/>
      <c r="F5" s="629"/>
      <c r="G5" s="630"/>
      <c r="H5" s="291" t="s">
        <v>42</v>
      </c>
      <c r="I5" s="290" t="s">
        <v>69</v>
      </c>
      <c r="J5" s="290"/>
    </row>
    <row r="6" spans="1:12">
      <c r="A6" s="261" t="s">
        <v>7</v>
      </c>
      <c r="B6" s="681" t="s">
        <v>201</v>
      </c>
      <c r="C6" s="682"/>
      <c r="D6" s="683"/>
      <c r="E6" s="291" t="s">
        <v>42</v>
      </c>
      <c r="F6" s="272" t="str">
        <f>IF($I$5 = 0,"", $I$5)</f>
        <v>近接範囲</v>
      </c>
      <c r="G6" s="289" t="str">
        <f>IF($J$5 = 0,"", $J$5)</f>
        <v/>
      </c>
      <c r="H6" s="291" t="s">
        <v>65</v>
      </c>
      <c r="I6" s="290" t="s">
        <v>71</v>
      </c>
      <c r="J6" s="290">
        <v>5</v>
      </c>
    </row>
    <row r="7" spans="1:12">
      <c r="A7" s="262" t="s">
        <v>6</v>
      </c>
      <c r="B7" s="655" t="s">
        <v>471</v>
      </c>
      <c r="C7" s="653"/>
      <c r="D7" s="654"/>
      <c r="E7" s="291" t="s">
        <v>65</v>
      </c>
      <c r="F7" s="272" t="str">
        <f>IF($I$6 = 0,"", $I$6)</f>
        <v>噴射</v>
      </c>
      <c r="G7" s="272">
        <f>IF($J$6 = 0,"", $J$6)</f>
        <v>5</v>
      </c>
      <c r="H7" s="291" t="s">
        <v>84</v>
      </c>
      <c r="I7" s="290" t="s">
        <v>112</v>
      </c>
      <c r="J7" s="244" t="s">
        <v>61</v>
      </c>
      <c r="L7" s="230" t="s">
        <v>343</v>
      </c>
    </row>
    <row r="8" spans="1:12">
      <c r="A8" s="145" t="s">
        <v>60</v>
      </c>
      <c r="B8" s="648" t="s">
        <v>472</v>
      </c>
      <c r="C8" s="649"/>
      <c r="D8" s="649"/>
      <c r="E8" s="649"/>
      <c r="F8" s="649"/>
      <c r="G8" s="650"/>
      <c r="H8" s="291" t="s">
        <v>50</v>
      </c>
      <c r="I8" s="290" t="s">
        <v>139</v>
      </c>
      <c r="J8" s="289">
        <f>IF($I$8 = "筋力",基本!$C$5,IF($I$8 = "耐久力",基本!$C$6,IF($I$8 = "敏捷力",基本!$C$7,IF($I$8 = "知力",基本!$C$8,IF($I$8 = "判断力",基本!$C$9,IF($I$8 = "判断力",基本!$C$10,""))))))</f>
        <v>7</v>
      </c>
      <c r="K8" s="290" t="s">
        <v>115</v>
      </c>
      <c r="L8" s="229">
        <f>$J$8+$L$9+$I$9</f>
        <v>7</v>
      </c>
    </row>
    <row r="9" spans="1:12" ht="13.5" customHeight="1">
      <c r="A9" s="274"/>
      <c r="B9" s="614"/>
      <c r="C9" s="520"/>
      <c r="D9" s="520"/>
      <c r="E9" s="520"/>
      <c r="F9" s="520"/>
      <c r="G9" s="615"/>
      <c r="H9" s="291" t="s">
        <v>57</v>
      </c>
      <c r="I9" s="290">
        <v>0</v>
      </c>
      <c r="J9" s="539" t="s">
        <v>52</v>
      </c>
      <c r="K9" s="541"/>
      <c r="L9" s="289">
        <f>IF($I$7=基本!$F$4,基本!$P$7,IF($I$7=基本!$F$13,基本!$P$16,IF($I$7=基本!$F$22,基本!$P$25,IF($I$7=基本!$F$31,基本!$P$34,IF($I$7=基本!$F$40,基本!$P$43,0)))))</f>
        <v>0</v>
      </c>
    </row>
    <row r="10" spans="1:12" ht="13.5" customHeight="1">
      <c r="A10" s="274"/>
      <c r="B10" s="614"/>
      <c r="C10" s="520"/>
      <c r="D10" s="520"/>
      <c r="E10" s="520"/>
      <c r="F10" s="520"/>
      <c r="G10" s="615"/>
      <c r="H10" s="292" t="s">
        <v>51</v>
      </c>
      <c r="I10" s="290" t="s">
        <v>139</v>
      </c>
      <c r="J10" s="249">
        <f>IF($I$10 = "筋力",基本!$C$5,IF($I$10 = "耐久力",基本!$C$6,IF($I$10 = "敏捷力",基本!$C$7,IF($I$10 = "知力",基本!$C$8,IF($I$10 = "判断力",基本!$C$9,IF($I$10 = "判断力",基本!$C$10,""))))))</f>
        <v>7</v>
      </c>
      <c r="L10" s="288"/>
    </row>
    <row r="11" spans="1:12" ht="13.5" customHeight="1">
      <c r="A11" s="274"/>
      <c r="B11" s="614"/>
      <c r="C11" s="520"/>
      <c r="D11" s="520"/>
      <c r="E11" s="520"/>
      <c r="F11" s="520"/>
      <c r="G11" s="615"/>
      <c r="H11" s="291" t="s">
        <v>58</v>
      </c>
      <c r="I11" s="290">
        <v>0</v>
      </c>
      <c r="J11" s="539" t="s">
        <v>53</v>
      </c>
      <c r="K11" s="541"/>
      <c r="L11" s="289">
        <f>IF($I$7=基本!$F$4,基本!$P$9,IF($I$7=基本!$F$13,基本!$P$18,IF($I$7=基本!$F$22,基本!$P$27,IF($I$7=基本!$F$31,基本!$P$36,IF($I$7=基本!$F$40,基本!$P$45,0)))))</f>
        <v>0</v>
      </c>
    </row>
    <row r="12" spans="1:12" ht="13.5" customHeight="1">
      <c r="A12" s="274"/>
      <c r="B12" s="614"/>
      <c r="C12" s="520"/>
      <c r="D12" s="520"/>
      <c r="E12" s="520"/>
      <c r="F12" s="520"/>
      <c r="G12" s="615"/>
      <c r="J12" s="287"/>
      <c r="K12" s="287"/>
      <c r="L12" s="230" t="s">
        <v>343</v>
      </c>
    </row>
    <row r="13" spans="1:12" ht="13.5" customHeight="1">
      <c r="A13" s="274"/>
      <c r="B13" s="614"/>
      <c r="C13" s="520"/>
      <c r="D13" s="520"/>
      <c r="E13" s="520"/>
      <c r="F13" s="520"/>
      <c r="G13" s="615"/>
      <c r="H13" s="291" t="s">
        <v>85</v>
      </c>
      <c r="I13" s="290">
        <v>1</v>
      </c>
      <c r="J13" s="291" t="s">
        <v>43</v>
      </c>
      <c r="K13" s="290">
        <v>10</v>
      </c>
      <c r="L13" s="229">
        <f>$J$10+$L$11+$I$11</f>
        <v>7</v>
      </c>
    </row>
    <row r="14" spans="1:12" ht="13.5" customHeight="1">
      <c r="A14" s="274"/>
      <c r="B14" s="614"/>
      <c r="C14" s="520"/>
      <c r="D14" s="520"/>
      <c r="E14" s="520"/>
      <c r="F14" s="520"/>
      <c r="G14" s="615"/>
      <c r="H14" s="291" t="s">
        <v>49</v>
      </c>
      <c r="I14" s="245">
        <f>IF($I$7=基本!$F$4,基本!$L$11,IF($I$7=基本!$F$13,基本!$L$20,IF($I$7=基本!$F$22,基本!$L$29,IF($I$7=基本!$F$31,基本!$L$38,IF($I$7=基本!$F$40,基本!$L$47,0)))))</f>
        <v>5</v>
      </c>
      <c r="J14" s="291" t="s">
        <v>43</v>
      </c>
      <c r="K14" s="245">
        <f>IF($I$7=基本!$F$4,基本!$N$11,IF($I$7=基本!$F$13,基本!$N$20,IF($I$7=基本!$F$22,基本!$N$29,IF($I$7=基本!$F$31,基本!$N$38,IF($I$7=基本!$F$40,基本!$N$47,0)))))</f>
        <v>12</v>
      </c>
      <c r="L14" s="229">
        <f>$J$10+$L$11+$I$11+($I$13*$K$13)</f>
        <v>17</v>
      </c>
    </row>
    <row r="15" spans="1:12" ht="13.5" customHeight="1">
      <c r="A15" s="274"/>
      <c r="B15" s="614"/>
      <c r="C15" s="520"/>
      <c r="D15" s="520"/>
      <c r="E15" s="520"/>
      <c r="F15" s="520"/>
      <c r="G15" s="615"/>
      <c r="H15" s="291" t="s">
        <v>59</v>
      </c>
      <c r="I15" s="290"/>
      <c r="J15" s="291" t="s">
        <v>342</v>
      </c>
      <c r="K15" s="290" t="s">
        <v>15</v>
      </c>
      <c r="L15" s="289">
        <f>IF(K15="",0,VLOOKUP(K15,基本!$A$5:'基本'!$C$10,3,FALSE))</f>
        <v>3</v>
      </c>
    </row>
    <row r="16" spans="1:12" ht="13.5" customHeight="1">
      <c r="A16" s="274"/>
      <c r="B16" s="614"/>
      <c r="C16" s="520"/>
      <c r="D16" s="520"/>
      <c r="E16" s="520"/>
      <c r="F16" s="520"/>
      <c r="G16" s="615"/>
    </row>
    <row r="17" spans="1:13" ht="13.5" customHeight="1">
      <c r="A17" s="264"/>
      <c r="B17" s="716"/>
      <c r="C17" s="717"/>
      <c r="D17" s="717"/>
      <c r="E17" s="717"/>
      <c r="F17" s="717"/>
      <c r="G17" s="718"/>
      <c r="J17" s="287"/>
      <c r="K17" s="287"/>
    </row>
    <row r="18" spans="1:13" ht="6" customHeight="1">
      <c r="A18" s="784"/>
      <c r="B18" s="784"/>
      <c r="C18" s="784"/>
      <c r="D18" s="784"/>
      <c r="E18" s="784"/>
      <c r="F18" s="784"/>
      <c r="G18" s="784"/>
      <c r="J18" s="287"/>
      <c r="K18" s="287"/>
    </row>
    <row r="19" spans="1:13" ht="14.25">
      <c r="A19" s="517" t="s">
        <v>493</v>
      </c>
      <c r="B19" s="517"/>
      <c r="C19" s="517"/>
      <c r="D19" s="517"/>
      <c r="E19" s="517"/>
      <c r="F19" s="517"/>
      <c r="G19" s="517"/>
    </row>
    <row r="20" spans="1:13" ht="13.5" customHeight="1">
      <c r="A20" s="529" t="s">
        <v>159</v>
      </c>
      <c r="B20" s="529"/>
      <c r="C20" s="529"/>
      <c r="D20" s="529"/>
      <c r="E20" s="529"/>
      <c r="F20" s="529"/>
      <c r="G20" s="529"/>
    </row>
    <row r="21" spans="1:13" ht="13.5" customHeight="1">
      <c r="A21" s="525" t="s">
        <v>160</v>
      </c>
      <c r="B21" s="525"/>
      <c r="C21" s="525"/>
      <c r="D21" s="525"/>
      <c r="E21" s="525"/>
      <c r="F21" s="525"/>
      <c r="G21" s="525"/>
    </row>
    <row r="22" spans="1:13" ht="14.25">
      <c r="A22" s="517" t="s">
        <v>973</v>
      </c>
      <c r="B22" s="517"/>
      <c r="C22" s="517"/>
      <c r="D22" s="517"/>
      <c r="E22" s="517"/>
      <c r="F22" s="517"/>
      <c r="G22" s="517"/>
      <c r="I22" s="287"/>
      <c r="J22" s="287"/>
      <c r="K22" s="287"/>
    </row>
    <row r="23" spans="1:13" ht="13.5" customHeight="1">
      <c r="A23" s="529" t="s">
        <v>440</v>
      </c>
      <c r="B23" s="529"/>
      <c r="C23" s="529"/>
      <c r="D23" s="529"/>
      <c r="E23" s="529"/>
      <c r="F23" s="529"/>
      <c r="G23" s="529"/>
    </row>
    <row r="24" spans="1:13" ht="13.5" customHeight="1">
      <c r="A24" s="525" t="s">
        <v>441</v>
      </c>
      <c r="B24" s="525"/>
      <c r="C24" s="525"/>
      <c r="D24" s="525"/>
      <c r="E24" s="525"/>
      <c r="F24" s="525"/>
      <c r="G24" s="525"/>
    </row>
    <row r="25" spans="1:13" ht="13.5" customHeight="1">
      <c r="A25" s="525" t="s">
        <v>442</v>
      </c>
      <c r="B25" s="525"/>
      <c r="C25" s="525"/>
      <c r="D25" s="525"/>
      <c r="E25" s="525"/>
      <c r="F25" s="525"/>
      <c r="G25" s="525"/>
    </row>
    <row r="26" spans="1:13" ht="7.5" customHeight="1">
      <c r="A26" s="717"/>
      <c r="B26" s="717"/>
      <c r="C26" s="717"/>
      <c r="D26" s="717"/>
      <c r="E26" s="717"/>
      <c r="F26" s="717"/>
      <c r="G26" s="717"/>
    </row>
    <row r="27" spans="1:13" ht="13.5" customHeight="1">
      <c r="A27" s="619" t="s">
        <v>48</v>
      </c>
      <c r="B27" s="620"/>
      <c r="C27" s="620"/>
      <c r="D27" s="620"/>
      <c r="E27" s="620"/>
      <c r="F27" s="620"/>
      <c r="G27" s="621"/>
    </row>
    <row r="28" spans="1:13" s="288" customFormat="1" ht="13.5" customHeight="1">
      <c r="A28" s="779"/>
      <c r="B28" s="780"/>
      <c r="C28" s="780"/>
      <c r="D28" s="780"/>
      <c r="E28" s="780"/>
      <c r="F28" s="780"/>
      <c r="G28" s="781"/>
      <c r="L28" s="287"/>
      <c r="M28" s="287"/>
    </row>
    <row r="29" spans="1:13" s="288" customFormat="1" ht="13.5" customHeight="1">
      <c r="A29" s="645" t="s">
        <v>548</v>
      </c>
      <c r="B29" s="646"/>
      <c r="C29" s="646"/>
      <c r="D29" s="646"/>
      <c r="E29" s="646"/>
      <c r="F29" s="646"/>
      <c r="G29" s="647"/>
      <c r="L29" s="287"/>
      <c r="M29" s="287"/>
    </row>
    <row r="30" spans="1:13" s="288" customFormat="1" ht="13.5" customHeight="1">
      <c r="A30" s="645" t="s">
        <v>549</v>
      </c>
      <c r="B30" s="646"/>
      <c r="C30" s="646"/>
      <c r="D30" s="646"/>
      <c r="E30" s="646"/>
      <c r="F30" s="646"/>
      <c r="G30" s="647"/>
      <c r="L30" s="287"/>
      <c r="M30" s="287"/>
    </row>
    <row r="31" spans="1:13" s="288" customFormat="1" ht="13.5" customHeight="1">
      <c r="A31" s="645"/>
      <c r="B31" s="646"/>
      <c r="C31" s="646"/>
      <c r="D31" s="646"/>
      <c r="E31" s="646"/>
      <c r="F31" s="646"/>
      <c r="G31" s="647"/>
      <c r="L31" s="287"/>
      <c r="M31" s="287"/>
    </row>
    <row r="32" spans="1:13" s="288" customFormat="1" ht="13.5" customHeight="1">
      <c r="A32" s="645" t="s">
        <v>535</v>
      </c>
      <c r="B32" s="646"/>
      <c r="C32" s="646"/>
      <c r="D32" s="646"/>
      <c r="E32" s="646"/>
      <c r="F32" s="646"/>
      <c r="G32" s="647"/>
      <c r="L32" s="287"/>
      <c r="M32" s="287"/>
    </row>
    <row r="33" spans="1:13" s="288" customFormat="1" ht="13.5" customHeight="1">
      <c r="A33" s="645" t="s">
        <v>536</v>
      </c>
      <c r="B33" s="646"/>
      <c r="C33" s="646"/>
      <c r="D33" s="646"/>
      <c r="E33" s="646"/>
      <c r="F33" s="646"/>
      <c r="G33" s="647"/>
      <c r="L33" s="287"/>
      <c r="M33" s="287"/>
    </row>
    <row r="34" spans="1:13" s="288" customFormat="1" ht="13.5" customHeight="1">
      <c r="A34" s="645"/>
      <c r="B34" s="646"/>
      <c r="C34" s="646"/>
      <c r="D34" s="646"/>
      <c r="E34" s="646"/>
      <c r="F34" s="646"/>
      <c r="G34" s="647"/>
      <c r="L34" s="287"/>
      <c r="M34" s="287"/>
    </row>
    <row r="35" spans="1:13" s="288" customFormat="1" ht="13.5" customHeight="1">
      <c r="A35" s="645" t="s">
        <v>550</v>
      </c>
      <c r="B35" s="646"/>
      <c r="C35" s="646"/>
      <c r="D35" s="646"/>
      <c r="E35" s="646"/>
      <c r="F35" s="646"/>
      <c r="G35" s="647"/>
      <c r="L35" s="287"/>
      <c r="M35" s="287"/>
    </row>
    <row r="36" spans="1:13" ht="13.5" customHeight="1">
      <c r="A36" s="645" t="s">
        <v>551</v>
      </c>
      <c r="B36" s="646"/>
      <c r="C36" s="646"/>
      <c r="D36" s="646"/>
      <c r="E36" s="646"/>
      <c r="F36" s="646"/>
      <c r="G36" s="647"/>
    </row>
    <row r="37" spans="1:13" s="288" customFormat="1" ht="13.5" customHeight="1">
      <c r="A37" s="779"/>
      <c r="B37" s="780"/>
      <c r="C37" s="780"/>
      <c r="D37" s="780"/>
      <c r="E37" s="780"/>
      <c r="F37" s="780"/>
      <c r="G37" s="781"/>
      <c r="L37" s="287"/>
      <c r="M37" s="287"/>
    </row>
    <row r="38" spans="1:13" s="288" customFormat="1" ht="13.5" customHeight="1">
      <c r="A38" s="645" t="s">
        <v>588</v>
      </c>
      <c r="B38" s="646"/>
      <c r="C38" s="646"/>
      <c r="D38" s="646"/>
      <c r="E38" s="646"/>
      <c r="F38" s="646"/>
      <c r="G38" s="647"/>
      <c r="L38" s="287"/>
      <c r="M38" s="287"/>
    </row>
    <row r="39" spans="1:13" ht="13.5" customHeight="1">
      <c r="A39" s="779" t="s">
        <v>589</v>
      </c>
      <c r="B39" s="780"/>
      <c r="C39" s="780"/>
      <c r="D39" s="780"/>
      <c r="E39" s="780"/>
      <c r="F39" s="780"/>
      <c r="G39" s="781"/>
    </row>
    <row r="40" spans="1:13" s="288" customFormat="1" ht="13.5" customHeight="1">
      <c r="A40" s="645"/>
      <c r="B40" s="646"/>
      <c r="C40" s="646"/>
      <c r="D40" s="646"/>
      <c r="E40" s="646"/>
      <c r="F40" s="646"/>
      <c r="G40" s="647"/>
      <c r="L40" s="287"/>
      <c r="M40" s="287"/>
    </row>
    <row r="41" spans="1:13" ht="13.5" customHeight="1">
      <c r="A41" s="645" t="s">
        <v>587</v>
      </c>
      <c r="B41" s="646"/>
      <c r="C41" s="646"/>
      <c r="D41" s="646"/>
      <c r="E41" s="646"/>
      <c r="F41" s="646"/>
      <c r="G41" s="647"/>
    </row>
    <row r="42" spans="1:13" s="288" customFormat="1" ht="13.5" customHeight="1">
      <c r="A42" s="645"/>
      <c r="B42" s="646"/>
      <c r="C42" s="646"/>
      <c r="D42" s="646"/>
      <c r="E42" s="646"/>
      <c r="F42" s="646"/>
      <c r="G42" s="647"/>
      <c r="L42" s="287"/>
      <c r="M42" s="287"/>
    </row>
    <row r="43" spans="1:13" s="288" customFormat="1" ht="13.5" customHeight="1">
      <c r="A43" s="645" t="s">
        <v>590</v>
      </c>
      <c r="B43" s="646"/>
      <c r="C43" s="646"/>
      <c r="D43" s="646"/>
      <c r="E43" s="646"/>
      <c r="F43" s="646"/>
      <c r="G43" s="647"/>
      <c r="L43" s="287"/>
      <c r="M43" s="287"/>
    </row>
    <row r="44" spans="1:13" s="288" customFormat="1" ht="13.5" customHeight="1">
      <c r="A44" s="645" t="s">
        <v>591</v>
      </c>
      <c r="B44" s="646"/>
      <c r="C44" s="646"/>
      <c r="D44" s="646"/>
      <c r="E44" s="646"/>
      <c r="F44" s="646"/>
      <c r="G44" s="647"/>
      <c r="L44" s="287"/>
      <c r="M44" s="287"/>
    </row>
    <row r="45" spans="1:13" s="288" customFormat="1" ht="13.5" customHeight="1">
      <c r="A45" s="779" t="s">
        <v>594</v>
      </c>
      <c r="B45" s="780"/>
      <c r="C45" s="780"/>
      <c r="D45" s="780"/>
      <c r="E45" s="780"/>
      <c r="F45" s="780"/>
      <c r="G45" s="781"/>
      <c r="L45" s="287"/>
      <c r="M45" s="287"/>
    </row>
    <row r="46" spans="1:13" s="288" customFormat="1" ht="13.5" customHeight="1">
      <c r="A46" s="779"/>
      <c r="B46" s="780"/>
      <c r="C46" s="780"/>
      <c r="D46" s="780"/>
      <c r="E46" s="780"/>
      <c r="F46" s="780"/>
      <c r="G46" s="781"/>
      <c r="L46" s="287"/>
      <c r="M46" s="287"/>
    </row>
    <row r="47" spans="1:13" s="288" customFormat="1" ht="13.5" customHeight="1">
      <c r="A47" s="779" t="s">
        <v>592</v>
      </c>
      <c r="B47" s="780"/>
      <c r="C47" s="780"/>
      <c r="D47" s="780"/>
      <c r="E47" s="780"/>
      <c r="F47" s="780"/>
      <c r="G47" s="781"/>
      <c r="L47" s="287"/>
      <c r="M47" s="287"/>
    </row>
    <row r="48" spans="1:13" s="288" customFormat="1" ht="13.5" customHeight="1">
      <c r="A48" s="779" t="s">
        <v>593</v>
      </c>
      <c r="B48" s="780"/>
      <c r="C48" s="780"/>
      <c r="D48" s="780"/>
      <c r="E48" s="780"/>
      <c r="F48" s="780"/>
      <c r="G48" s="781"/>
      <c r="L48" s="287"/>
      <c r="M48" s="287"/>
    </row>
    <row r="49" spans="1:13" s="288" customFormat="1" ht="13.5" customHeight="1">
      <c r="A49" s="779" t="s">
        <v>827</v>
      </c>
      <c r="B49" s="780"/>
      <c r="C49" s="780"/>
      <c r="D49" s="780"/>
      <c r="E49" s="780"/>
      <c r="F49" s="780"/>
      <c r="G49" s="781"/>
      <c r="L49" s="287"/>
      <c r="M49" s="287"/>
    </row>
    <row r="50" spans="1:13" s="288" customFormat="1" ht="13.5" customHeight="1">
      <c r="A50" s="779" t="s">
        <v>828</v>
      </c>
      <c r="B50" s="780"/>
      <c r="C50" s="780"/>
      <c r="D50" s="780"/>
      <c r="E50" s="780"/>
      <c r="F50" s="780"/>
      <c r="G50" s="781"/>
      <c r="L50" s="287"/>
      <c r="M50" s="287"/>
    </row>
    <row r="51" spans="1:13" s="288" customFormat="1" ht="13.5" customHeight="1">
      <c r="A51" s="645" t="s">
        <v>611</v>
      </c>
      <c r="B51" s="646"/>
      <c r="C51" s="646"/>
      <c r="D51" s="646"/>
      <c r="E51" s="646"/>
      <c r="F51" s="646"/>
      <c r="G51" s="647"/>
      <c r="L51" s="287"/>
      <c r="M51" s="287"/>
    </row>
    <row r="52" spans="1:13" s="288" customFormat="1" ht="13.5" customHeight="1">
      <c r="A52" s="779" t="s">
        <v>612</v>
      </c>
      <c r="B52" s="780"/>
      <c r="C52" s="780"/>
      <c r="D52" s="780"/>
      <c r="E52" s="780"/>
      <c r="F52" s="780"/>
      <c r="G52" s="781"/>
      <c r="L52" s="287"/>
      <c r="M52" s="287"/>
    </row>
    <row r="53" spans="1:13" s="288" customFormat="1" ht="13.5" customHeight="1">
      <c r="A53" s="779"/>
      <c r="B53" s="780"/>
      <c r="C53" s="780"/>
      <c r="D53" s="780"/>
      <c r="E53" s="780"/>
      <c r="F53" s="780"/>
      <c r="G53" s="781"/>
      <c r="L53" s="287"/>
      <c r="M53" s="287"/>
    </row>
    <row r="54" spans="1:13" s="288" customFormat="1" ht="13.5" customHeight="1">
      <c r="A54" s="645"/>
      <c r="B54" s="646"/>
      <c r="C54" s="646"/>
      <c r="D54" s="646"/>
      <c r="E54" s="646"/>
      <c r="F54" s="646"/>
      <c r="G54" s="647"/>
      <c r="L54" s="287"/>
      <c r="M54" s="287"/>
    </row>
    <row r="55" spans="1:13" s="288" customFormat="1" ht="13.5" customHeight="1">
      <c r="A55" s="779"/>
      <c r="B55" s="780"/>
      <c r="C55" s="780"/>
      <c r="D55" s="780"/>
      <c r="E55" s="780"/>
      <c r="F55" s="780"/>
      <c r="G55" s="781"/>
      <c r="L55" s="287"/>
      <c r="M55" s="287"/>
    </row>
    <row r="56" spans="1:13" s="288" customFormat="1" ht="13.5" customHeight="1">
      <c r="A56" s="779"/>
      <c r="B56" s="780"/>
      <c r="C56" s="780"/>
      <c r="D56" s="780"/>
      <c r="E56" s="780"/>
      <c r="F56" s="780"/>
      <c r="G56" s="781"/>
      <c r="L56" s="287"/>
      <c r="M56" s="287"/>
    </row>
    <row r="57" spans="1:13" s="288" customFormat="1" ht="13.5" customHeight="1">
      <c r="A57" s="779"/>
      <c r="B57" s="780"/>
      <c r="C57" s="780"/>
      <c r="D57" s="780"/>
      <c r="E57" s="780"/>
      <c r="F57" s="780"/>
      <c r="G57" s="781"/>
      <c r="L57" s="287"/>
      <c r="M57" s="287"/>
    </row>
    <row r="58" spans="1:13" s="288" customFormat="1" ht="13.5" customHeight="1">
      <c r="A58" s="779"/>
      <c r="B58" s="780"/>
      <c r="C58" s="780"/>
      <c r="D58" s="780"/>
      <c r="E58" s="780"/>
      <c r="F58" s="780"/>
      <c r="G58" s="781"/>
      <c r="L58" s="287"/>
      <c r="M58" s="287"/>
    </row>
    <row r="59" spans="1:13" s="288" customFormat="1" ht="13.5" customHeight="1">
      <c r="A59" s="779"/>
      <c r="B59" s="780"/>
      <c r="C59" s="780"/>
      <c r="D59" s="780"/>
      <c r="E59" s="780"/>
      <c r="F59" s="780"/>
      <c r="G59" s="781"/>
      <c r="L59" s="287"/>
      <c r="M59" s="287"/>
    </row>
    <row r="60" spans="1:13" ht="21">
      <c r="A60" s="785" t="str">
        <f>$B$1</f>
        <v>アイテム</v>
      </c>
      <c r="B60" s="786"/>
      <c r="C60" s="95" t="s">
        <v>39</v>
      </c>
      <c r="D60" s="96" t="str">
        <f>$E$1</f>
        <v>無限回</v>
      </c>
      <c r="E60" s="616" t="str">
        <f>$B$2</f>
        <v>ウィンド・スタッフ+3　Lv14</v>
      </c>
      <c r="F60" s="617"/>
      <c r="G60" s="618"/>
    </row>
  </sheetData>
  <mergeCells count="64">
    <mergeCell ref="E60:G60"/>
    <mergeCell ref="A55:G55"/>
    <mergeCell ref="A56:G56"/>
    <mergeCell ref="A57:G57"/>
    <mergeCell ref="A58:G58"/>
    <mergeCell ref="A59:G59"/>
    <mergeCell ref="A60:B60"/>
    <mergeCell ref="A54:G54"/>
    <mergeCell ref="A37:G37"/>
    <mergeCell ref="A38:G38"/>
    <mergeCell ref="A39:G39"/>
    <mergeCell ref="A46:G46"/>
    <mergeCell ref="A47:G47"/>
    <mergeCell ref="A48:G48"/>
    <mergeCell ref="A49:G49"/>
    <mergeCell ref="A51:G51"/>
    <mergeCell ref="A52:G52"/>
    <mergeCell ref="A50:G50"/>
    <mergeCell ref="A53:G53"/>
    <mergeCell ref="A21:G21"/>
    <mergeCell ref="A44:G44"/>
    <mergeCell ref="A30:G30"/>
    <mergeCell ref="A31:G31"/>
    <mergeCell ref="A32:G32"/>
    <mergeCell ref="A33:G33"/>
    <mergeCell ref="A34:G34"/>
    <mergeCell ref="A35:G35"/>
    <mergeCell ref="A36:G36"/>
    <mergeCell ref="A40:G40"/>
    <mergeCell ref="A41:G41"/>
    <mergeCell ref="A42:G42"/>
    <mergeCell ref="A43:G43"/>
    <mergeCell ref="B12:G12"/>
    <mergeCell ref="B13:G13"/>
    <mergeCell ref="B14:G14"/>
    <mergeCell ref="A29:G29"/>
    <mergeCell ref="B16:G16"/>
    <mergeCell ref="B17:G17"/>
    <mergeCell ref="A18:G18"/>
    <mergeCell ref="A26:G26"/>
    <mergeCell ref="A27:G27"/>
    <mergeCell ref="A28:G28"/>
    <mergeCell ref="A22:G22"/>
    <mergeCell ref="A23:G23"/>
    <mergeCell ref="A24:G24"/>
    <mergeCell ref="A25:G25"/>
    <mergeCell ref="A19:G19"/>
    <mergeCell ref="A20:G20"/>
    <mergeCell ref="J9:K9"/>
    <mergeCell ref="B10:G10"/>
    <mergeCell ref="J11:K11"/>
    <mergeCell ref="A45:G45"/>
    <mergeCell ref="B1:C1"/>
    <mergeCell ref="F1:G1"/>
    <mergeCell ref="B2:G2"/>
    <mergeCell ref="B4:G4"/>
    <mergeCell ref="H4:L4"/>
    <mergeCell ref="B5:G5"/>
    <mergeCell ref="B15:G15"/>
    <mergeCell ref="B6:D6"/>
    <mergeCell ref="B7:D7"/>
    <mergeCell ref="B8:G8"/>
    <mergeCell ref="B9:G9"/>
    <mergeCell ref="B11:G11"/>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基本!$A$16:$A$19</xm:f>
          </x14:formula1>
          <xm:sqref>K8</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I7</xm:sqref>
        </x14:dataValidation>
        <x14:dataValidation type="list" allowBlank="1" showInputMessage="1" showErrorMessage="1">
          <x14:formula1>
            <xm:f>基本!$A$5:$A$10</xm:f>
          </x14:formula1>
          <xm:sqref>I8 I10 K15</xm:sqref>
        </x14:dataValidation>
        <x14:dataValidation type="list" allowBlank="1" showInputMessage="1" showErrorMessage="1">
          <x14:formula1>
            <xm:f>基本!$B$27:$B$31</xm:f>
          </x14:formula1>
          <xm:sqref>I6</xm:sqref>
        </x14:dataValidation>
        <x14:dataValidation type="list" allowBlank="1" showInputMessage="1" showErrorMessage="1">
          <x14:formula1>
            <xm:f>基本!$A$27:$A$33</xm:f>
          </x14:formula1>
          <xm:sqref>I5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R60"/>
  <sheetViews>
    <sheetView zoomScaleNormal="100" workbookViewId="0">
      <selection activeCell="B2" sqref="B2:G2"/>
    </sheetView>
  </sheetViews>
  <sheetFormatPr defaultRowHeight="13.5"/>
  <cols>
    <col min="1" max="1" width="7.875" style="109" customWidth="1"/>
    <col min="2" max="2" width="8.5" style="109" customWidth="1"/>
    <col min="3" max="3" width="6.625" style="109" customWidth="1"/>
    <col min="4" max="4" width="15.75" style="109" customWidth="1"/>
    <col min="5" max="6" width="15.75" style="88" customWidth="1"/>
    <col min="7" max="7" width="18.25" style="88" customWidth="1"/>
    <col min="8" max="8" width="17.375" style="88" customWidth="1"/>
    <col min="9" max="9" width="14.625" style="88" customWidth="1"/>
    <col min="10" max="10" width="8.375" style="88" customWidth="1"/>
    <col min="11" max="11" width="7.5" style="88" customWidth="1"/>
    <col min="12" max="12" width="7.875" style="109" customWidth="1"/>
    <col min="13" max="13" width="7.875" style="133" customWidth="1"/>
    <col min="14" max="14" width="9.25" style="109" customWidth="1"/>
    <col min="15" max="15" width="12.375" style="109" customWidth="1"/>
    <col min="16" max="16384" width="9" style="109"/>
  </cols>
  <sheetData>
    <row r="1" spans="1:18" ht="21">
      <c r="A1" s="39"/>
      <c r="B1" s="792" t="s">
        <v>131</v>
      </c>
      <c r="C1" s="793"/>
      <c r="D1" s="40" t="s">
        <v>39</v>
      </c>
      <c r="E1" s="41" t="s">
        <v>56</v>
      </c>
      <c r="F1" s="678"/>
      <c r="G1" s="679"/>
      <c r="H1" s="93" t="s">
        <v>54</v>
      </c>
    </row>
    <row r="2" spans="1:18" ht="24.75" customHeight="1">
      <c r="A2" s="40" t="s">
        <v>0</v>
      </c>
      <c r="B2" s="680" t="s">
        <v>193</v>
      </c>
      <c r="C2" s="680"/>
      <c r="D2" s="680"/>
      <c r="E2" s="680"/>
      <c r="F2" s="680"/>
      <c r="G2" s="680"/>
      <c r="H2" s="93" t="s">
        <v>55</v>
      </c>
    </row>
    <row r="3" spans="1:18" ht="19.5" customHeight="1">
      <c r="A3" s="99" t="s">
        <v>47</v>
      </c>
      <c r="B3" s="88"/>
      <c r="C3" s="88"/>
      <c r="D3" s="88"/>
      <c r="I3" s="93"/>
    </row>
    <row r="4" spans="1:18">
      <c r="A4" s="72" t="s">
        <v>45</v>
      </c>
      <c r="B4" s="628" t="s">
        <v>194</v>
      </c>
      <c r="C4" s="629"/>
      <c r="D4" s="629"/>
      <c r="E4" s="629"/>
      <c r="F4" s="629"/>
      <c r="G4" s="630"/>
      <c r="H4" s="539" t="s">
        <v>339</v>
      </c>
      <c r="I4" s="540"/>
      <c r="J4" s="540"/>
      <c r="K4" s="540"/>
      <c r="L4" s="541"/>
    </row>
    <row r="5" spans="1:18">
      <c r="A5" s="73" t="s">
        <v>117</v>
      </c>
      <c r="B5" s="628" t="s">
        <v>133</v>
      </c>
      <c r="C5" s="629"/>
      <c r="D5" s="629"/>
      <c r="E5" s="629"/>
      <c r="F5" s="629"/>
      <c r="G5" s="630"/>
      <c r="H5" s="106" t="s">
        <v>42</v>
      </c>
      <c r="I5" s="108" t="s">
        <v>87</v>
      </c>
      <c r="J5" s="108"/>
    </row>
    <row r="6" spans="1:18">
      <c r="A6" s="73" t="s">
        <v>118</v>
      </c>
      <c r="B6" s="628" t="s">
        <v>195</v>
      </c>
      <c r="C6" s="629"/>
      <c r="D6" s="630"/>
      <c r="E6" s="106" t="s">
        <v>42</v>
      </c>
      <c r="F6" s="107" t="str">
        <f>IF($I$5 = 0,"", $I$5)</f>
        <v>使用者</v>
      </c>
      <c r="G6" s="107" t="str">
        <f>IF($J$5 = 0,"", $J$5)</f>
        <v/>
      </c>
      <c r="H6" s="106" t="s">
        <v>65</v>
      </c>
      <c r="I6" s="108"/>
      <c r="J6" s="108"/>
    </row>
    <row r="7" spans="1:18">
      <c r="A7" s="74" t="s">
        <v>6</v>
      </c>
      <c r="B7" s="655"/>
      <c r="C7" s="653"/>
      <c r="D7" s="654"/>
      <c r="E7" s="106" t="s">
        <v>65</v>
      </c>
      <c r="F7" s="45" t="str">
        <f>IF($I$6 = 0,"", $I$6)</f>
        <v/>
      </c>
      <c r="G7" s="45" t="str">
        <f>IF($J$6 = 0,"", $J$6)</f>
        <v/>
      </c>
      <c r="H7" s="106" t="s">
        <v>84</v>
      </c>
      <c r="I7" s="108" t="s">
        <v>112</v>
      </c>
      <c r="J7" s="93" t="s">
        <v>61</v>
      </c>
      <c r="L7" s="230" t="s">
        <v>343</v>
      </c>
    </row>
    <row r="8" spans="1:18">
      <c r="A8" s="145" t="s">
        <v>132</v>
      </c>
      <c r="B8" s="642" t="s">
        <v>285</v>
      </c>
      <c r="C8" s="643"/>
      <c r="D8" s="643"/>
      <c r="E8" s="643"/>
      <c r="F8" s="643"/>
      <c r="G8" s="644"/>
      <c r="H8" s="106" t="s">
        <v>50</v>
      </c>
      <c r="I8" s="108" t="s">
        <v>140</v>
      </c>
      <c r="J8" s="107">
        <f>IF($I$8 = "筋力",基本!$C$5,IF($I$8 = "耐久力",基本!$C$6,IF($I$8 = "敏捷力",基本!$C$7,IF($I$8 = "知力",基本!$C$8,IF($I$8 = "判断力",基本!$C$9,IF($I$8 = "判断力",基本!$C$10,""))))))</f>
        <v>7</v>
      </c>
      <c r="K8" s="108" t="s">
        <v>115</v>
      </c>
      <c r="L8" s="229">
        <f>$J$8+$L$9+$I$9</f>
        <v>7</v>
      </c>
    </row>
    <row r="9" spans="1:18" ht="13.5" customHeight="1">
      <c r="A9" s="178"/>
      <c r="B9" s="603" t="s">
        <v>196</v>
      </c>
      <c r="C9" s="717"/>
      <c r="D9" s="717"/>
      <c r="E9" s="717"/>
      <c r="F9" s="717"/>
      <c r="G9" s="718"/>
      <c r="H9" s="106" t="s">
        <v>57</v>
      </c>
      <c r="I9" s="108">
        <v>0</v>
      </c>
      <c r="J9" s="539" t="s">
        <v>52</v>
      </c>
      <c r="K9" s="541"/>
      <c r="L9" s="107">
        <f>IF($I$7=基本!$F$4,基本!$P$7,IF($I$7=基本!$F$13,基本!$P$16,IF($I$7=基本!$F$22,基本!$P$25,IF($I$7=基本!$F$31,基本!$P$34,IF($I$7=基本!$F$40,基本!$P$43,0)))))</f>
        <v>0</v>
      </c>
    </row>
    <row r="10" spans="1:18" ht="13.5" customHeight="1">
      <c r="A10" s="145" t="s">
        <v>60</v>
      </c>
      <c r="B10" s="648" t="s">
        <v>197</v>
      </c>
      <c r="C10" s="649"/>
      <c r="D10" s="649"/>
      <c r="E10" s="649"/>
      <c r="F10" s="649"/>
      <c r="G10" s="650"/>
      <c r="H10" s="98" t="s">
        <v>51</v>
      </c>
      <c r="I10" s="108" t="s">
        <v>140</v>
      </c>
      <c r="J10" s="97">
        <f>IF($I$10 = "筋力",基本!$C$5,IF($I$10 = "耐久力",基本!$C$6,IF($I$10 = "敏捷力",基本!$C$7,IF($I$10 = "知力",基本!$C$8,IF($I$10 = "判断力",基本!$C$9,IF($I$10 = "判断力",基本!$C$10,""))))))</f>
        <v>7</v>
      </c>
      <c r="L10" s="88"/>
    </row>
    <row r="11" spans="1:18" ht="13.5" customHeight="1">
      <c r="A11" s="146"/>
      <c r="B11" s="614"/>
      <c r="C11" s="520"/>
      <c r="D11" s="520"/>
      <c r="E11" s="520"/>
      <c r="F11" s="520"/>
      <c r="G11" s="615"/>
      <c r="H11" s="106" t="s">
        <v>58</v>
      </c>
      <c r="I11" s="108">
        <v>0</v>
      </c>
      <c r="J11" s="539" t="s">
        <v>53</v>
      </c>
      <c r="K11" s="541"/>
      <c r="L11" s="107">
        <f>IF($I$7=基本!$F$4,基本!$P$9,IF($I$7=基本!$F$13,基本!$P$18,IF($I$7=基本!$F$22,基本!$P$27,IF($I$7=基本!$F$31,基本!$P$36,IF($I$7=基本!$F$40,基本!$P$45,0)))))</f>
        <v>0</v>
      </c>
    </row>
    <row r="12" spans="1:18" ht="13.5" customHeight="1">
      <c r="A12" s="76"/>
      <c r="B12" s="614"/>
      <c r="C12" s="520"/>
      <c r="D12" s="520"/>
      <c r="E12" s="520"/>
      <c r="F12" s="520"/>
      <c r="G12" s="615"/>
      <c r="J12" s="133"/>
      <c r="K12" s="133"/>
      <c r="L12" s="230" t="s">
        <v>343</v>
      </c>
      <c r="N12" s="133"/>
      <c r="O12" s="133"/>
      <c r="P12" s="133"/>
      <c r="Q12" s="133"/>
      <c r="R12" s="133"/>
    </row>
    <row r="13" spans="1:18" ht="13.5" customHeight="1">
      <c r="A13" s="76"/>
      <c r="B13" s="614"/>
      <c r="C13" s="520"/>
      <c r="D13" s="520"/>
      <c r="E13" s="520"/>
      <c r="F13" s="520"/>
      <c r="G13" s="615"/>
      <c r="H13" s="219" t="s">
        <v>85</v>
      </c>
      <c r="I13" s="108">
        <v>1</v>
      </c>
      <c r="J13" s="106" t="s">
        <v>43</v>
      </c>
      <c r="K13" s="108">
        <v>10</v>
      </c>
      <c r="L13" s="229">
        <f>$J$10+$L$11+$I$11</f>
        <v>7</v>
      </c>
    </row>
    <row r="14" spans="1:18" ht="13.5" customHeight="1">
      <c r="A14" s="76"/>
      <c r="B14" s="614"/>
      <c r="C14" s="520"/>
      <c r="D14" s="520"/>
      <c r="E14" s="520"/>
      <c r="F14" s="520"/>
      <c r="G14" s="615"/>
      <c r="H14" s="106" t="s">
        <v>49</v>
      </c>
      <c r="I14" s="32">
        <f>IF($I$7=基本!$F$4,基本!$L$11,IF($I$7=基本!$F$13,基本!$L$20,IF($I$7=基本!$F$22,基本!$L$29,IF($I$7=基本!$F$31,基本!$L$38,IF($I$7=基本!$F$40,基本!$L$47,0)))))</f>
        <v>5</v>
      </c>
      <c r="J14" s="219" t="s">
        <v>341</v>
      </c>
      <c r="K14" s="32">
        <f>IF($I$7=基本!$F$4,基本!$N$11,IF($I$7=基本!$F$13,基本!$N$20,IF($I$7=基本!$F$22,基本!$N$29,IF($I$7=基本!$F$31,基本!$N$38,IF($I$7=基本!$F$40,基本!$N$47,0)))))</f>
        <v>12</v>
      </c>
      <c r="L14" s="229">
        <f>$J$10+$L$11+$I$11+($I$13*$K$13)</f>
        <v>17</v>
      </c>
    </row>
    <row r="15" spans="1:18" ht="13.5" customHeight="1">
      <c r="A15" s="76"/>
      <c r="B15" s="614"/>
      <c r="C15" s="520"/>
      <c r="D15" s="520"/>
      <c r="E15" s="520"/>
      <c r="F15" s="520"/>
      <c r="G15" s="615"/>
      <c r="H15" s="106" t="s">
        <v>59</v>
      </c>
      <c r="I15" s="108"/>
      <c r="J15" s="219" t="s">
        <v>342</v>
      </c>
      <c r="K15" s="220" t="s">
        <v>15</v>
      </c>
      <c r="L15" s="218">
        <f>IF(K15="",0,VLOOKUP(K15,基本!$A$5:'基本'!$C$10,3,FALSE))</f>
        <v>3</v>
      </c>
    </row>
    <row r="16" spans="1:18" ht="13.5" customHeight="1">
      <c r="A16" s="76"/>
      <c r="B16" s="614"/>
      <c r="C16" s="520"/>
      <c r="D16" s="520"/>
      <c r="E16" s="520"/>
      <c r="F16" s="520"/>
      <c r="G16" s="615"/>
    </row>
    <row r="17" spans="1:13" ht="13.5" customHeight="1">
      <c r="A17" s="76"/>
      <c r="B17" s="614"/>
      <c r="C17" s="520"/>
      <c r="D17" s="520"/>
      <c r="E17" s="520"/>
      <c r="F17" s="520"/>
      <c r="G17" s="615"/>
    </row>
    <row r="18" spans="1:13" ht="13.5" customHeight="1">
      <c r="A18" s="76"/>
      <c r="B18" s="614"/>
      <c r="C18" s="520"/>
      <c r="D18" s="520"/>
      <c r="E18" s="520"/>
      <c r="F18" s="520"/>
      <c r="G18" s="615"/>
    </row>
    <row r="19" spans="1:13" ht="13.5" customHeight="1">
      <c r="A19" s="76"/>
      <c r="B19" s="614"/>
      <c r="C19" s="520"/>
      <c r="D19" s="520"/>
      <c r="E19" s="520"/>
      <c r="F19" s="520"/>
      <c r="G19" s="615"/>
      <c r="K19" s="109"/>
    </row>
    <row r="20" spans="1:13" ht="13.5" customHeight="1">
      <c r="A20" s="77"/>
      <c r="B20" s="716"/>
      <c r="C20" s="717"/>
      <c r="D20" s="717"/>
      <c r="E20" s="717"/>
      <c r="F20" s="717"/>
      <c r="G20" s="718"/>
      <c r="J20" s="109"/>
      <c r="K20" s="109"/>
    </row>
    <row r="21" spans="1:13" s="133" customFormat="1" ht="4.5" customHeight="1">
      <c r="A21" s="784"/>
      <c r="B21" s="784"/>
      <c r="C21" s="784"/>
      <c r="D21" s="784"/>
      <c r="E21" s="784"/>
      <c r="F21" s="784"/>
      <c r="G21" s="784"/>
      <c r="H21" s="88"/>
      <c r="I21" s="88"/>
    </row>
    <row r="22" spans="1:13" ht="3.75" customHeight="1">
      <c r="A22" s="717"/>
      <c r="B22" s="717"/>
      <c r="C22" s="717"/>
      <c r="D22" s="717"/>
      <c r="E22" s="717"/>
      <c r="F22" s="717"/>
      <c r="G22" s="717"/>
    </row>
    <row r="23" spans="1:13" ht="13.5" customHeight="1">
      <c r="A23" s="619" t="s">
        <v>48</v>
      </c>
      <c r="B23" s="620"/>
      <c r="C23" s="620"/>
      <c r="D23" s="620"/>
      <c r="E23" s="620"/>
      <c r="F23" s="620"/>
      <c r="G23" s="621"/>
    </row>
    <row r="24" spans="1:13" ht="13.5" customHeight="1">
      <c r="A24" s="779"/>
      <c r="B24" s="780"/>
      <c r="C24" s="780"/>
      <c r="D24" s="780"/>
      <c r="E24" s="780"/>
      <c r="F24" s="780"/>
      <c r="G24" s="781"/>
    </row>
    <row r="25" spans="1:13" s="88" customFormat="1" ht="13.5" customHeight="1">
      <c r="A25" s="779" t="s">
        <v>385</v>
      </c>
      <c r="B25" s="780"/>
      <c r="C25" s="780"/>
      <c r="D25" s="780"/>
      <c r="E25" s="780"/>
      <c r="F25" s="780"/>
      <c r="G25" s="781"/>
      <c r="L25" s="109"/>
      <c r="M25" s="133"/>
    </row>
    <row r="26" spans="1:13" s="88" customFormat="1" ht="13.5" customHeight="1">
      <c r="A26" s="779" t="s">
        <v>386</v>
      </c>
      <c r="B26" s="780"/>
      <c r="C26" s="780"/>
      <c r="D26" s="780"/>
      <c r="E26" s="780"/>
      <c r="F26" s="780"/>
      <c r="G26" s="781"/>
      <c r="L26" s="109"/>
      <c r="M26" s="133"/>
    </row>
    <row r="27" spans="1:13" s="88" customFormat="1" ht="13.5" customHeight="1">
      <c r="A27" s="645" t="s">
        <v>387</v>
      </c>
      <c r="B27" s="646"/>
      <c r="C27" s="646"/>
      <c r="D27" s="646"/>
      <c r="E27" s="646"/>
      <c r="F27" s="646"/>
      <c r="G27" s="647"/>
      <c r="L27" s="109"/>
      <c r="M27" s="133"/>
    </row>
    <row r="28" spans="1:13" s="88" customFormat="1" ht="13.5" customHeight="1">
      <c r="A28" s="645"/>
      <c r="B28" s="646"/>
      <c r="C28" s="646"/>
      <c r="D28" s="646"/>
      <c r="E28" s="646"/>
      <c r="F28" s="646"/>
      <c r="G28" s="647"/>
      <c r="L28" s="109"/>
      <c r="M28" s="133"/>
    </row>
    <row r="29" spans="1:13" s="88" customFormat="1" ht="13.5" customHeight="1">
      <c r="A29" s="645"/>
      <c r="B29" s="646"/>
      <c r="C29" s="646"/>
      <c r="D29" s="646"/>
      <c r="E29" s="646"/>
      <c r="F29" s="646"/>
      <c r="G29" s="647"/>
      <c r="L29" s="109"/>
      <c r="M29" s="133"/>
    </row>
    <row r="30" spans="1:13" s="88" customFormat="1" ht="13.5" customHeight="1">
      <c r="A30" s="779"/>
      <c r="B30" s="780"/>
      <c r="C30" s="780"/>
      <c r="D30" s="780"/>
      <c r="E30" s="780"/>
      <c r="F30" s="780"/>
      <c r="G30" s="781"/>
      <c r="L30" s="109"/>
      <c r="M30" s="133"/>
    </row>
    <row r="31" spans="1:13" s="88" customFormat="1" ht="13.5" customHeight="1">
      <c r="A31" s="645"/>
      <c r="B31" s="646"/>
      <c r="C31" s="646"/>
      <c r="D31" s="646"/>
      <c r="E31" s="646"/>
      <c r="F31" s="646"/>
      <c r="G31" s="647"/>
      <c r="L31" s="109"/>
      <c r="M31" s="133"/>
    </row>
    <row r="32" spans="1:13" s="88" customFormat="1" ht="13.5" customHeight="1">
      <c r="A32" s="779"/>
      <c r="B32" s="780"/>
      <c r="C32" s="780"/>
      <c r="D32" s="780"/>
      <c r="E32" s="780"/>
      <c r="F32" s="780"/>
      <c r="G32" s="781"/>
      <c r="L32" s="109"/>
      <c r="M32" s="133"/>
    </row>
    <row r="33" spans="1:13" s="88" customFormat="1" ht="13.5" customHeight="1">
      <c r="A33" s="779"/>
      <c r="B33" s="780"/>
      <c r="C33" s="780"/>
      <c r="D33" s="780"/>
      <c r="E33" s="780"/>
      <c r="F33" s="780"/>
      <c r="G33" s="781"/>
      <c r="L33" s="109"/>
      <c r="M33" s="133"/>
    </row>
    <row r="34" spans="1:13" ht="13.5" customHeight="1">
      <c r="A34" s="779"/>
      <c r="B34" s="780"/>
      <c r="C34" s="780"/>
      <c r="D34" s="780"/>
      <c r="E34" s="780"/>
      <c r="F34" s="780"/>
      <c r="G34" s="781"/>
    </row>
    <row r="35" spans="1:13" s="88" customFormat="1" ht="13.5" customHeight="1">
      <c r="A35" s="779"/>
      <c r="B35" s="780"/>
      <c r="C35" s="780"/>
      <c r="D35" s="780"/>
      <c r="E35" s="780"/>
      <c r="F35" s="780"/>
      <c r="G35" s="781"/>
      <c r="L35" s="109"/>
      <c r="M35" s="133"/>
    </row>
    <row r="36" spans="1:13" ht="13.5" customHeight="1">
      <c r="A36" s="779"/>
      <c r="B36" s="780"/>
      <c r="C36" s="780"/>
      <c r="D36" s="780"/>
      <c r="E36" s="780"/>
      <c r="F36" s="780"/>
      <c r="G36" s="781"/>
    </row>
    <row r="37" spans="1:13" s="88" customFormat="1" ht="13.5" customHeight="1">
      <c r="A37" s="645"/>
      <c r="B37" s="646"/>
      <c r="C37" s="646"/>
      <c r="D37" s="646"/>
      <c r="E37" s="646"/>
      <c r="F37" s="646"/>
      <c r="G37" s="647"/>
      <c r="L37" s="109"/>
      <c r="M37" s="133"/>
    </row>
    <row r="38" spans="1:13" s="88" customFormat="1" ht="13.5" customHeight="1">
      <c r="A38" s="645"/>
      <c r="B38" s="646"/>
      <c r="C38" s="646"/>
      <c r="D38" s="646"/>
      <c r="E38" s="646"/>
      <c r="F38" s="646"/>
      <c r="G38" s="647"/>
      <c r="L38" s="109"/>
      <c r="M38" s="133"/>
    </row>
    <row r="39" spans="1:13" s="88" customFormat="1" ht="13.5" customHeight="1">
      <c r="A39" s="645"/>
      <c r="B39" s="646"/>
      <c r="C39" s="646"/>
      <c r="D39" s="646"/>
      <c r="E39" s="646"/>
      <c r="F39" s="646"/>
      <c r="G39" s="647"/>
      <c r="L39" s="109"/>
      <c r="M39" s="133"/>
    </row>
    <row r="40" spans="1:13" s="88" customFormat="1" ht="13.5" customHeight="1">
      <c r="A40" s="779"/>
      <c r="B40" s="780"/>
      <c r="C40" s="780"/>
      <c r="D40" s="780"/>
      <c r="E40" s="780"/>
      <c r="F40" s="780"/>
      <c r="G40" s="781"/>
      <c r="L40" s="109"/>
      <c r="M40" s="133"/>
    </row>
    <row r="41" spans="1:13" s="88" customFormat="1" ht="13.5" customHeight="1">
      <c r="A41" s="645"/>
      <c r="B41" s="646"/>
      <c r="C41" s="646"/>
      <c r="D41" s="646"/>
      <c r="E41" s="646"/>
      <c r="F41" s="646"/>
      <c r="G41" s="647"/>
      <c r="L41" s="109"/>
      <c r="M41" s="133"/>
    </row>
    <row r="42" spans="1:13" ht="13.5" customHeight="1">
      <c r="A42" s="779"/>
      <c r="B42" s="780"/>
      <c r="C42" s="780"/>
      <c r="D42" s="780"/>
      <c r="E42" s="780"/>
      <c r="F42" s="780"/>
      <c r="G42" s="781"/>
    </row>
    <row r="43" spans="1:13" s="88" customFormat="1" ht="13.5" customHeight="1">
      <c r="A43" s="779"/>
      <c r="B43" s="780"/>
      <c r="C43" s="780"/>
      <c r="D43" s="780"/>
      <c r="E43" s="780"/>
      <c r="F43" s="780"/>
      <c r="G43" s="781"/>
      <c r="L43" s="109"/>
      <c r="M43" s="133"/>
    </row>
    <row r="44" spans="1:13" s="280" customFormat="1" ht="13.5" customHeight="1">
      <c r="A44" s="779"/>
      <c r="B44" s="780"/>
      <c r="C44" s="780"/>
      <c r="D44" s="780"/>
      <c r="E44" s="780"/>
      <c r="F44" s="780"/>
      <c r="G44" s="781"/>
      <c r="L44" s="279"/>
      <c r="M44" s="279"/>
    </row>
    <row r="45" spans="1:13" s="280" customFormat="1" ht="13.5" customHeight="1">
      <c r="A45" s="779"/>
      <c r="B45" s="780"/>
      <c r="C45" s="780"/>
      <c r="D45" s="780"/>
      <c r="E45" s="780"/>
      <c r="F45" s="780"/>
      <c r="G45" s="781"/>
      <c r="L45" s="279"/>
      <c r="M45" s="279"/>
    </row>
    <row r="46" spans="1:13" s="280" customFormat="1" ht="13.5" customHeight="1">
      <c r="A46" s="779"/>
      <c r="B46" s="780"/>
      <c r="C46" s="780"/>
      <c r="D46" s="780"/>
      <c r="E46" s="780"/>
      <c r="F46" s="780"/>
      <c r="G46" s="781"/>
      <c r="L46" s="279"/>
      <c r="M46" s="279"/>
    </row>
    <row r="47" spans="1:13" s="280" customFormat="1" ht="13.5" customHeight="1">
      <c r="A47" s="645"/>
      <c r="B47" s="646"/>
      <c r="C47" s="646"/>
      <c r="D47" s="646"/>
      <c r="E47" s="646"/>
      <c r="F47" s="646"/>
      <c r="G47" s="647"/>
      <c r="L47" s="279"/>
      <c r="M47" s="279"/>
    </row>
    <row r="48" spans="1:13" s="280" customFormat="1" ht="13.5" customHeight="1">
      <c r="A48" s="779"/>
      <c r="B48" s="780"/>
      <c r="C48" s="780"/>
      <c r="D48" s="780"/>
      <c r="E48" s="780"/>
      <c r="F48" s="780"/>
      <c r="G48" s="781"/>
      <c r="L48" s="279"/>
      <c r="M48" s="279"/>
    </row>
    <row r="49" spans="1:13" s="280" customFormat="1" ht="13.5" customHeight="1">
      <c r="A49" s="779"/>
      <c r="B49" s="780"/>
      <c r="C49" s="780"/>
      <c r="D49" s="780"/>
      <c r="E49" s="780"/>
      <c r="F49" s="780"/>
      <c r="G49" s="781"/>
      <c r="L49" s="279"/>
      <c r="M49" s="279"/>
    </row>
    <row r="50" spans="1:13" s="280" customFormat="1" ht="13.5" customHeight="1">
      <c r="A50" s="779"/>
      <c r="B50" s="780"/>
      <c r="C50" s="780"/>
      <c r="D50" s="780"/>
      <c r="E50" s="780"/>
      <c r="F50" s="780"/>
      <c r="G50" s="781"/>
      <c r="L50" s="279"/>
      <c r="M50" s="279"/>
    </row>
    <row r="51" spans="1:13" s="280" customFormat="1" ht="13.5" customHeight="1">
      <c r="A51" s="645"/>
      <c r="B51" s="646"/>
      <c r="C51" s="646"/>
      <c r="D51" s="646"/>
      <c r="E51" s="646"/>
      <c r="F51" s="646"/>
      <c r="G51" s="647"/>
      <c r="L51" s="279"/>
      <c r="M51" s="279"/>
    </row>
    <row r="52" spans="1:13" s="88" customFormat="1" ht="13.5" customHeight="1">
      <c r="A52" s="779"/>
      <c r="B52" s="780"/>
      <c r="C52" s="780"/>
      <c r="D52" s="780"/>
      <c r="E52" s="780"/>
      <c r="F52" s="780"/>
      <c r="G52" s="781"/>
      <c r="L52" s="109"/>
      <c r="M52" s="133"/>
    </row>
    <row r="53" spans="1:13" s="88" customFormat="1" ht="13.5" customHeight="1">
      <c r="A53" s="779"/>
      <c r="B53" s="780"/>
      <c r="C53" s="780"/>
      <c r="D53" s="780"/>
      <c r="E53" s="780"/>
      <c r="F53" s="780"/>
      <c r="G53" s="781"/>
      <c r="L53" s="109"/>
      <c r="M53" s="133"/>
    </row>
    <row r="54" spans="1:13" s="88" customFormat="1" ht="13.5" customHeight="1">
      <c r="A54" s="779"/>
      <c r="B54" s="780"/>
      <c r="C54" s="780"/>
      <c r="D54" s="780"/>
      <c r="E54" s="780"/>
      <c r="F54" s="780"/>
      <c r="G54" s="781"/>
      <c r="L54" s="109"/>
      <c r="M54" s="133"/>
    </row>
    <row r="55" spans="1:13" s="88" customFormat="1" ht="13.5" customHeight="1">
      <c r="A55" s="779"/>
      <c r="B55" s="780"/>
      <c r="C55" s="780"/>
      <c r="D55" s="780"/>
      <c r="E55" s="780"/>
      <c r="F55" s="780"/>
      <c r="G55" s="781"/>
      <c r="L55" s="109"/>
      <c r="M55" s="133"/>
    </row>
    <row r="56" spans="1:13" s="88" customFormat="1" ht="13.5" customHeight="1">
      <c r="A56" s="779"/>
      <c r="B56" s="780"/>
      <c r="C56" s="780"/>
      <c r="D56" s="780"/>
      <c r="E56" s="780"/>
      <c r="F56" s="780"/>
      <c r="G56" s="781"/>
      <c r="L56" s="130"/>
      <c r="M56" s="133"/>
    </row>
    <row r="57" spans="1:13" s="88" customFormat="1" ht="13.5" customHeight="1">
      <c r="A57" s="779"/>
      <c r="B57" s="780"/>
      <c r="C57" s="780"/>
      <c r="D57" s="780"/>
      <c r="E57" s="780"/>
      <c r="F57" s="780"/>
      <c r="G57" s="781"/>
      <c r="L57" s="130"/>
      <c r="M57" s="133"/>
    </row>
    <row r="58" spans="1:13" s="88" customFormat="1" ht="13.5" customHeight="1">
      <c r="A58" s="779"/>
      <c r="B58" s="780"/>
      <c r="C58" s="780"/>
      <c r="D58" s="780"/>
      <c r="E58" s="780"/>
      <c r="F58" s="780"/>
      <c r="G58" s="781"/>
      <c r="L58" s="109"/>
      <c r="M58" s="133"/>
    </row>
    <row r="59" spans="1:13">
      <c r="A59" s="789"/>
      <c r="B59" s="790"/>
      <c r="C59" s="790"/>
      <c r="D59" s="790"/>
      <c r="E59" s="790"/>
      <c r="F59" s="790"/>
      <c r="G59" s="791"/>
    </row>
    <row r="60" spans="1:13" ht="21">
      <c r="A60" s="787" t="str">
        <f>$B$1</f>
        <v>種族パワー</v>
      </c>
      <c r="B60" s="788"/>
      <c r="C60" s="37" t="s">
        <v>39</v>
      </c>
      <c r="D60" s="38" t="str">
        <f>$E$1</f>
        <v>遭遇毎</v>
      </c>
      <c r="E60" s="691" t="str">
        <f>$B$2</f>
        <v>メモリー・オヴ・ア・サウザンド・ライフタイムズ</v>
      </c>
      <c r="F60" s="692"/>
      <c r="G60" s="693"/>
    </row>
  </sheetData>
  <mergeCells count="64">
    <mergeCell ref="A51:G51"/>
    <mergeCell ref="A45:G45"/>
    <mergeCell ref="A46:G46"/>
    <mergeCell ref="A47:G47"/>
    <mergeCell ref="A48:G48"/>
    <mergeCell ref="A49:G49"/>
    <mergeCell ref="H4:L4"/>
    <mergeCell ref="A26:G26"/>
    <mergeCell ref="A27:G27"/>
    <mergeCell ref="A25:G25"/>
    <mergeCell ref="A44:G44"/>
    <mergeCell ref="B6:D6"/>
    <mergeCell ref="B7:D7"/>
    <mergeCell ref="B8:G8"/>
    <mergeCell ref="B9:G9"/>
    <mergeCell ref="B10:G10"/>
    <mergeCell ref="B14:G14"/>
    <mergeCell ref="B15:G15"/>
    <mergeCell ref="B16:G16"/>
    <mergeCell ref="A24:G24"/>
    <mergeCell ref="B17:G17"/>
    <mergeCell ref="B18:G18"/>
    <mergeCell ref="B1:C1"/>
    <mergeCell ref="F1:G1"/>
    <mergeCell ref="B2:G2"/>
    <mergeCell ref="B4:G4"/>
    <mergeCell ref="B5:G5"/>
    <mergeCell ref="B19:G19"/>
    <mergeCell ref="B20:G20"/>
    <mergeCell ref="A22:G22"/>
    <mergeCell ref="A21:G21"/>
    <mergeCell ref="A23:G23"/>
    <mergeCell ref="J9:K9"/>
    <mergeCell ref="B11:G11"/>
    <mergeCell ref="B12:G12"/>
    <mergeCell ref="J11:K11"/>
    <mergeCell ref="B13:G13"/>
    <mergeCell ref="A32:G32"/>
    <mergeCell ref="A30:G30"/>
    <mergeCell ref="A31:G31"/>
    <mergeCell ref="A28:G28"/>
    <mergeCell ref="A29:G29"/>
    <mergeCell ref="A33:G33"/>
    <mergeCell ref="A35:G35"/>
    <mergeCell ref="A59:G59"/>
    <mergeCell ref="A40:G40"/>
    <mergeCell ref="A37:G37"/>
    <mergeCell ref="A38:G38"/>
    <mergeCell ref="A34:G34"/>
    <mergeCell ref="A41:G41"/>
    <mergeCell ref="A39:G39"/>
    <mergeCell ref="A36:G36"/>
    <mergeCell ref="A42:G42"/>
    <mergeCell ref="A43:G43"/>
    <mergeCell ref="A52:G52"/>
    <mergeCell ref="A53:G53"/>
    <mergeCell ref="A54:G54"/>
    <mergeCell ref="A50:G50"/>
    <mergeCell ref="E60:G60"/>
    <mergeCell ref="A55:G55"/>
    <mergeCell ref="A58:G58"/>
    <mergeCell ref="A56:G56"/>
    <mergeCell ref="A57:G57"/>
    <mergeCell ref="A60:B6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 type="list" allowBlank="1" showInputMessage="1" showErrorMessage="1">
          <x14:formula1>
            <xm:f>基本!$A$5:$A$10</xm:f>
          </x14:formula1>
          <xm:sqref>I8 I10 K15</xm:sqref>
        </x14:dataValidation>
        <x14:dataValidation type="list" allowBlank="1" showInputMessage="1" showErrorMessage="1">
          <x14:formula1>
            <xm:f>基本!$D$27:$D$31</xm:f>
          </x14:formula1>
          <xm:sqref>I7</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R59"/>
  <sheetViews>
    <sheetView zoomScaleNormal="100" workbookViewId="0">
      <selection activeCell="B2" sqref="B2:G2"/>
    </sheetView>
  </sheetViews>
  <sheetFormatPr defaultRowHeight="13.5"/>
  <cols>
    <col min="1" max="1" width="7.875" customWidth="1"/>
    <col min="2" max="2" width="8.5" customWidth="1"/>
    <col min="3" max="3" width="6.625" customWidth="1"/>
    <col min="4" max="4" width="15.75" customWidth="1"/>
    <col min="5" max="6" width="15.75" style="1" customWidth="1"/>
    <col min="7" max="7" width="18.25" style="1" customWidth="1"/>
    <col min="8" max="8" width="17.375" style="1" customWidth="1"/>
    <col min="9" max="9" width="14.625" style="1" customWidth="1"/>
    <col min="10" max="10" width="8.375" style="1" customWidth="1"/>
    <col min="11" max="11" width="7.5" style="1" customWidth="1"/>
    <col min="12" max="12" width="7.875" customWidth="1"/>
    <col min="13" max="13" width="7.875" style="133" customWidth="1"/>
    <col min="14" max="14" width="9.25" customWidth="1"/>
    <col min="15" max="15" width="12.375" customWidth="1"/>
  </cols>
  <sheetData>
    <row r="1" spans="1:18" ht="21">
      <c r="A1" s="39" t="s">
        <v>127</v>
      </c>
      <c r="B1" s="676">
        <v>2</v>
      </c>
      <c r="C1" s="677"/>
      <c r="D1" s="40" t="s">
        <v>39</v>
      </c>
      <c r="E1" s="41" t="s">
        <v>56</v>
      </c>
      <c r="F1" s="678"/>
      <c r="G1" s="679"/>
      <c r="H1" s="13" t="s">
        <v>54</v>
      </c>
    </row>
    <row r="2" spans="1:18" ht="24.75" customHeight="1">
      <c r="A2" s="40" t="s">
        <v>0</v>
      </c>
      <c r="B2" s="680" t="s">
        <v>532</v>
      </c>
      <c r="C2" s="680"/>
      <c r="D2" s="680"/>
      <c r="E2" s="680"/>
      <c r="F2" s="680"/>
      <c r="G2" s="680"/>
      <c r="H2" s="13" t="s">
        <v>55</v>
      </c>
    </row>
    <row r="3" spans="1:18" ht="19.5" customHeight="1">
      <c r="A3" s="21" t="s">
        <v>47</v>
      </c>
      <c r="B3" s="1"/>
      <c r="C3" s="1"/>
      <c r="D3" s="1"/>
      <c r="I3" s="13"/>
    </row>
    <row r="4" spans="1:18">
      <c r="A4" s="72" t="s">
        <v>45</v>
      </c>
      <c r="B4" s="628" t="s">
        <v>198</v>
      </c>
      <c r="C4" s="629"/>
      <c r="D4" s="629"/>
      <c r="E4" s="629"/>
      <c r="F4" s="629"/>
      <c r="G4" s="630"/>
      <c r="H4" s="539" t="s">
        <v>339</v>
      </c>
      <c r="I4" s="540"/>
      <c r="J4" s="540"/>
      <c r="K4" s="540"/>
      <c r="L4" s="541"/>
    </row>
    <row r="5" spans="1:18">
      <c r="A5" s="73" t="s">
        <v>38</v>
      </c>
      <c r="B5" s="628" t="s">
        <v>138</v>
      </c>
      <c r="C5" s="629"/>
      <c r="D5" s="629"/>
      <c r="E5" s="629"/>
      <c r="F5" s="629"/>
      <c r="G5" s="630"/>
      <c r="H5" s="57" t="s">
        <v>42</v>
      </c>
      <c r="I5" s="58" t="s">
        <v>70</v>
      </c>
      <c r="J5" s="58">
        <v>10</v>
      </c>
      <c r="K5" s="27"/>
      <c r="L5" s="47"/>
    </row>
    <row r="6" spans="1:18">
      <c r="A6" s="73" t="s">
        <v>7</v>
      </c>
      <c r="B6" s="681" t="s">
        <v>126</v>
      </c>
      <c r="C6" s="682"/>
      <c r="D6" s="683"/>
      <c r="E6" s="54" t="s">
        <v>42</v>
      </c>
      <c r="F6" s="195" t="str">
        <f>IF($I$5 = 0,"", $I$5)</f>
        <v>遠隔</v>
      </c>
      <c r="G6" s="195">
        <f>IF($J$5 = 0,"", $J$5)</f>
        <v>10</v>
      </c>
      <c r="H6" s="57" t="s">
        <v>65</v>
      </c>
      <c r="I6" s="58"/>
      <c r="J6" s="58"/>
      <c r="K6" s="27"/>
      <c r="L6" s="47"/>
    </row>
    <row r="7" spans="1:18">
      <c r="A7" s="74" t="s">
        <v>116</v>
      </c>
      <c r="B7" s="628" t="s">
        <v>288</v>
      </c>
      <c r="C7" s="629"/>
      <c r="D7" s="630"/>
      <c r="E7" s="54" t="s">
        <v>65</v>
      </c>
      <c r="F7" s="53" t="str">
        <f>IF($I$6 = 0,"", $I$6)</f>
        <v/>
      </c>
      <c r="G7" s="53" t="str">
        <f>IF($J$6 = 0,"", $J$6)</f>
        <v/>
      </c>
      <c r="H7" s="127" t="s">
        <v>84</v>
      </c>
      <c r="I7" s="58" t="s">
        <v>112</v>
      </c>
      <c r="J7" s="31" t="s">
        <v>61</v>
      </c>
      <c r="K7" s="27"/>
      <c r="L7" s="230" t="s">
        <v>343</v>
      </c>
    </row>
    <row r="8" spans="1:18" ht="13.5" customHeight="1">
      <c r="A8" s="75" t="s">
        <v>60</v>
      </c>
      <c r="B8" s="642" t="s">
        <v>200</v>
      </c>
      <c r="C8" s="643"/>
      <c r="D8" s="643"/>
      <c r="E8" s="643"/>
      <c r="F8" s="643"/>
      <c r="G8" s="644"/>
      <c r="H8" s="127" t="s">
        <v>50</v>
      </c>
      <c r="I8" s="58" t="s">
        <v>140</v>
      </c>
      <c r="J8" s="56">
        <f>IF($I$8 = "筋力",基本!$C$5,IF($I$8 = "耐久力",基本!$C$6,IF($I$8 = "敏捷力",基本!$C$7,IF($I$8 = "知力",基本!$C$8,IF($I$8 = "判断力",基本!$C$9,IF($I$8 = "判断力",基本!$C$10,""))))))</f>
        <v>7</v>
      </c>
      <c r="K8" s="58" t="s">
        <v>89</v>
      </c>
      <c r="L8" s="229">
        <f>$J$8+$L$9+$I$9</f>
        <v>8</v>
      </c>
    </row>
    <row r="9" spans="1:18" ht="13.5" customHeight="1">
      <c r="A9" s="76"/>
      <c r="B9" s="614"/>
      <c r="C9" s="520"/>
      <c r="D9" s="520"/>
      <c r="E9" s="520"/>
      <c r="F9" s="520"/>
      <c r="G9" s="615"/>
      <c r="H9" s="127" t="s">
        <v>57</v>
      </c>
      <c r="I9" s="58">
        <v>1</v>
      </c>
      <c r="J9" s="539" t="s">
        <v>52</v>
      </c>
      <c r="K9" s="541"/>
      <c r="L9" s="56">
        <f>IF($I$7=基本!$F$4,基本!$P$7,IF($I$7=基本!$F$13,基本!$P$16,IF($I$7=基本!$F$22,基本!$P$25,IF($I$7=基本!$F$31,基本!$P$34,IF($I$7=基本!$F$40,基本!$P$43,0)))))</f>
        <v>0</v>
      </c>
    </row>
    <row r="10" spans="1:18" ht="13.5" customHeight="1">
      <c r="A10" s="76"/>
      <c r="B10" s="713"/>
      <c r="C10" s="714"/>
      <c r="D10" s="714"/>
      <c r="E10" s="714"/>
      <c r="F10" s="714"/>
      <c r="G10" s="715"/>
      <c r="H10" s="98" t="s">
        <v>51</v>
      </c>
      <c r="I10" s="58" t="s">
        <v>139</v>
      </c>
      <c r="J10" s="35">
        <f>IF($I$8 = "筋力",基本!$C$5,IF($I$10 = "耐久力",基本!$C$6,IF($I$10 = "敏捷力",基本!$C$7,IF($I$10 = "知力",基本!$C$8,IF($I$10 = "判断力",基本!$C$9,IF($I$10 = "判断力",基本!$C$10,""))))))</f>
        <v>7</v>
      </c>
      <c r="K10" s="27"/>
      <c r="L10" s="27"/>
    </row>
    <row r="11" spans="1:18" ht="13.5" customHeight="1">
      <c r="A11" s="76"/>
      <c r="B11" s="614"/>
      <c r="C11" s="520"/>
      <c r="D11" s="520"/>
      <c r="E11" s="520"/>
      <c r="F11" s="520"/>
      <c r="G11" s="615"/>
      <c r="H11" s="57" t="s">
        <v>58</v>
      </c>
      <c r="I11" s="58">
        <v>0</v>
      </c>
      <c r="J11" s="539" t="s">
        <v>53</v>
      </c>
      <c r="K11" s="541"/>
      <c r="L11" s="56">
        <f>IF($I$7=基本!$F$4,基本!$P$9,IF($I$7=基本!$F$13,基本!$P$18,IF($I$7=基本!$F$22,基本!$P$27,IF($I$7=基本!$F$31,基本!$P$36,IF($I$7=基本!$F$40,基本!$P$45,0)))))</f>
        <v>0</v>
      </c>
      <c r="M11" s="111"/>
    </row>
    <row r="12" spans="1:18" ht="13.5" customHeight="1">
      <c r="A12" s="76"/>
      <c r="B12" s="713"/>
      <c r="C12" s="714"/>
      <c r="D12" s="714"/>
      <c r="E12" s="714"/>
      <c r="F12" s="714"/>
      <c r="G12" s="715"/>
      <c r="H12" s="110"/>
      <c r="I12" s="110"/>
      <c r="J12" s="133"/>
      <c r="K12" s="133"/>
      <c r="L12" s="230" t="s">
        <v>343</v>
      </c>
      <c r="N12" s="133"/>
      <c r="O12" s="133"/>
      <c r="P12" s="133"/>
      <c r="Q12" s="133"/>
      <c r="R12" s="133"/>
    </row>
    <row r="13" spans="1:18" ht="13.5" customHeight="1">
      <c r="A13" s="76"/>
      <c r="B13" s="794"/>
      <c r="C13" s="795"/>
      <c r="D13" s="795"/>
      <c r="E13" s="795"/>
      <c r="F13" s="795"/>
      <c r="G13" s="796"/>
      <c r="H13" s="219" t="s">
        <v>85</v>
      </c>
      <c r="I13" s="58">
        <v>1</v>
      </c>
      <c r="J13" s="57" t="s">
        <v>43</v>
      </c>
      <c r="K13" s="58">
        <v>10</v>
      </c>
      <c r="L13" s="229">
        <f>$J$10+$L$11+$I$11</f>
        <v>7</v>
      </c>
      <c r="M13" s="111"/>
    </row>
    <row r="14" spans="1:18" ht="13.5" customHeight="1">
      <c r="A14" s="76"/>
      <c r="B14" s="614"/>
      <c r="C14" s="520"/>
      <c r="D14" s="520"/>
      <c r="E14" s="520"/>
      <c r="F14" s="520"/>
      <c r="G14" s="615"/>
      <c r="H14" s="57" t="s">
        <v>49</v>
      </c>
      <c r="I14" s="32">
        <f>IF($I$7=基本!$F$4,基本!$L$11,IF($I$7=基本!$F$13,基本!$L$20,IF($I$7=基本!$F$22,基本!$L$29,IF($I$7=基本!$F$31,基本!$L$38,IF($I$7=基本!$F$40,基本!$L$47,0)))))</f>
        <v>5</v>
      </c>
      <c r="J14" s="219" t="s">
        <v>341</v>
      </c>
      <c r="K14" s="32">
        <f>IF($I$7=基本!$F$4,基本!$N$11,IF($I$7=基本!$F$13,基本!$N$20,IF($I$7=基本!$F$22,基本!$N$29,IF($I$7=基本!$F$31,基本!$N$38,IF($I$7=基本!$F$40,基本!$N$47,0)))))</f>
        <v>12</v>
      </c>
      <c r="L14" s="229">
        <f>$J$10+$L$11+$I$11+($I$13*$K$13)</f>
        <v>17</v>
      </c>
      <c r="M14" s="111"/>
    </row>
    <row r="15" spans="1:18" ht="13.5" customHeight="1">
      <c r="A15" s="76"/>
      <c r="B15" s="614"/>
      <c r="C15" s="520"/>
      <c r="D15" s="520"/>
      <c r="E15" s="520"/>
      <c r="F15" s="520"/>
      <c r="G15" s="615"/>
      <c r="H15" s="57" t="s">
        <v>59</v>
      </c>
      <c r="I15" s="58"/>
      <c r="J15" s="219" t="s">
        <v>342</v>
      </c>
      <c r="K15" s="220" t="s">
        <v>15</v>
      </c>
      <c r="L15" s="218">
        <f>IF(K15="",0,VLOOKUP(K15,基本!$A$5:'基本'!$C$10,3,FALSE))</f>
        <v>3</v>
      </c>
      <c r="M15" s="111"/>
    </row>
    <row r="16" spans="1:18" ht="13.5" customHeight="1">
      <c r="A16" s="76"/>
      <c r="B16" s="614"/>
      <c r="C16" s="520"/>
      <c r="D16" s="520"/>
      <c r="E16" s="520"/>
      <c r="F16" s="520"/>
      <c r="G16" s="615"/>
      <c r="H16" s="27"/>
      <c r="I16" s="27"/>
      <c r="J16" s="27"/>
      <c r="K16" s="27"/>
      <c r="L16" s="47"/>
    </row>
    <row r="17" spans="1:13" ht="13.5" customHeight="1">
      <c r="A17" s="76"/>
      <c r="B17" s="614"/>
      <c r="C17" s="520"/>
      <c r="D17" s="520"/>
      <c r="E17" s="520"/>
      <c r="F17" s="520"/>
      <c r="G17" s="615"/>
      <c r="J17"/>
      <c r="K17"/>
    </row>
    <row r="18" spans="1:13" ht="13.5" customHeight="1">
      <c r="A18" s="77"/>
      <c r="B18" s="716"/>
      <c r="C18" s="717"/>
      <c r="D18" s="717"/>
      <c r="E18" s="717"/>
      <c r="F18" s="717"/>
      <c r="G18" s="718"/>
      <c r="J18"/>
      <c r="K18"/>
    </row>
    <row r="19" spans="1:13" s="133" customFormat="1" ht="8.25" customHeight="1">
      <c r="A19" s="523"/>
      <c r="B19" s="523"/>
      <c r="C19" s="523"/>
      <c r="D19" s="523"/>
      <c r="E19" s="523"/>
      <c r="F19" s="523"/>
      <c r="G19" s="523"/>
      <c r="H19" s="88"/>
      <c r="I19" s="88"/>
      <c r="J19" s="88"/>
      <c r="K19" s="88"/>
    </row>
    <row r="20" spans="1:13" s="287" customFormat="1" ht="18.75" customHeight="1">
      <c r="A20" s="517" t="s">
        <v>149</v>
      </c>
      <c r="B20" s="517"/>
      <c r="C20" s="517"/>
      <c r="D20" s="517"/>
      <c r="E20" s="517"/>
      <c r="F20" s="517"/>
      <c r="G20" s="517"/>
      <c r="H20" s="288"/>
    </row>
    <row r="21" spans="1:13" s="287" customFormat="1" ht="13.5" customHeight="1">
      <c r="A21" s="529" t="s">
        <v>533</v>
      </c>
      <c r="B21" s="529"/>
      <c r="C21" s="529"/>
      <c r="D21" s="529"/>
      <c r="E21" s="529"/>
      <c r="F21" s="529"/>
      <c r="G21" s="529"/>
      <c r="H21" s="288"/>
      <c r="I21" s="288"/>
      <c r="J21" s="288"/>
      <c r="K21" s="288"/>
    </row>
    <row r="22" spans="1:13" s="287" customFormat="1" ht="13.5" customHeight="1">
      <c r="A22" s="529" t="s">
        <v>151</v>
      </c>
      <c r="B22" s="529"/>
      <c r="C22" s="529"/>
      <c r="D22" s="529"/>
      <c r="E22" s="529"/>
      <c r="F22" s="529"/>
      <c r="G22" s="529"/>
      <c r="H22" s="288"/>
      <c r="I22" s="288"/>
      <c r="J22" s="288"/>
      <c r="K22" s="288"/>
    </row>
    <row r="23" spans="1:13" ht="7.5" customHeight="1">
      <c r="A23" s="717"/>
      <c r="B23" s="717"/>
      <c r="C23" s="717"/>
      <c r="D23" s="717"/>
      <c r="E23" s="717"/>
      <c r="F23" s="717"/>
      <c r="G23" s="717"/>
    </row>
    <row r="24" spans="1:13" ht="13.5" customHeight="1">
      <c r="A24" s="619" t="s">
        <v>48</v>
      </c>
      <c r="B24" s="620"/>
      <c r="C24" s="620"/>
      <c r="D24" s="620"/>
      <c r="E24" s="620"/>
      <c r="F24" s="620"/>
      <c r="G24" s="621"/>
    </row>
    <row r="25" spans="1:13" s="110" customFormat="1" ht="13.5" customHeight="1">
      <c r="A25" s="719"/>
      <c r="B25" s="720"/>
      <c r="C25" s="720"/>
      <c r="D25" s="720"/>
      <c r="E25" s="720"/>
      <c r="F25" s="720"/>
      <c r="G25" s="721"/>
      <c r="L25" s="111"/>
      <c r="M25" s="111"/>
    </row>
    <row r="26" spans="1:13" s="88" customFormat="1" ht="15.75" customHeight="1">
      <c r="A26" s="608" t="s">
        <v>289</v>
      </c>
      <c r="B26" s="609"/>
      <c r="C26" s="609"/>
      <c r="D26" s="609"/>
      <c r="E26" s="609"/>
      <c r="F26" s="609"/>
      <c r="G26" s="610"/>
      <c r="L26" s="133"/>
      <c r="M26" s="133"/>
    </row>
    <row r="27" spans="1:13" s="110" customFormat="1" ht="13.5" customHeight="1">
      <c r="A27" s="645"/>
      <c r="B27" s="646"/>
      <c r="C27" s="646"/>
      <c r="D27" s="646"/>
      <c r="E27" s="646"/>
      <c r="F27" s="646"/>
      <c r="G27" s="647"/>
      <c r="L27" s="111"/>
      <c r="M27" s="111"/>
    </row>
    <row r="28" spans="1:13" s="110" customFormat="1" ht="13.5" customHeight="1">
      <c r="A28" s="645" t="s">
        <v>388</v>
      </c>
      <c r="B28" s="646"/>
      <c r="C28" s="646"/>
      <c r="D28" s="646"/>
      <c r="E28" s="646"/>
      <c r="F28" s="646"/>
      <c r="G28" s="647"/>
      <c r="L28" s="111"/>
      <c r="M28" s="111"/>
    </row>
    <row r="29" spans="1:13" s="110" customFormat="1" ht="13.5" customHeight="1">
      <c r="A29" s="645" t="s">
        <v>389</v>
      </c>
      <c r="B29" s="646"/>
      <c r="C29" s="646"/>
      <c r="D29" s="646"/>
      <c r="E29" s="646"/>
      <c r="F29" s="646"/>
      <c r="G29" s="647"/>
      <c r="L29" s="111"/>
      <c r="M29" s="111"/>
    </row>
    <row r="30" spans="1:13" s="111" customFormat="1" ht="13.5" customHeight="1">
      <c r="A30" s="645" t="s">
        <v>390</v>
      </c>
      <c r="B30" s="646"/>
      <c r="C30" s="646"/>
      <c r="D30" s="646"/>
      <c r="E30" s="646"/>
      <c r="F30" s="646"/>
      <c r="G30" s="647"/>
      <c r="H30" s="110"/>
      <c r="I30" s="110"/>
      <c r="J30" s="110"/>
      <c r="K30" s="110"/>
    </row>
    <row r="31" spans="1:13" s="110" customFormat="1" ht="13.5" customHeight="1">
      <c r="A31" s="645" t="s">
        <v>391</v>
      </c>
      <c r="B31" s="646"/>
      <c r="C31" s="646"/>
      <c r="D31" s="646"/>
      <c r="E31" s="646"/>
      <c r="F31" s="646"/>
      <c r="G31" s="647"/>
      <c r="L31" s="111"/>
      <c r="M31" s="111"/>
    </row>
    <row r="32" spans="1:13" s="110" customFormat="1" ht="13.5" customHeight="1">
      <c r="A32" s="645"/>
      <c r="B32" s="646"/>
      <c r="C32" s="646"/>
      <c r="D32" s="646"/>
      <c r="E32" s="646"/>
      <c r="F32" s="646"/>
      <c r="G32" s="647"/>
      <c r="L32" s="111"/>
      <c r="M32" s="111"/>
    </row>
    <row r="33" spans="1:13" s="110" customFormat="1" ht="13.5" customHeight="1">
      <c r="A33" s="645" t="s">
        <v>392</v>
      </c>
      <c r="B33" s="646"/>
      <c r="C33" s="646"/>
      <c r="D33" s="646"/>
      <c r="E33" s="646"/>
      <c r="F33" s="646"/>
      <c r="G33" s="647"/>
      <c r="L33" s="111"/>
      <c r="M33" s="111"/>
    </row>
    <row r="34" spans="1:13" s="110" customFormat="1" ht="13.5" customHeight="1">
      <c r="A34" s="645" t="s">
        <v>393</v>
      </c>
      <c r="B34" s="646"/>
      <c r="C34" s="646"/>
      <c r="D34" s="646"/>
      <c r="E34" s="646"/>
      <c r="F34" s="646"/>
      <c r="G34" s="647"/>
      <c r="L34" s="111"/>
      <c r="M34" s="111"/>
    </row>
    <row r="35" spans="1:13" s="111" customFormat="1" ht="13.5" customHeight="1">
      <c r="A35" s="645"/>
      <c r="B35" s="646"/>
      <c r="C35" s="646"/>
      <c r="D35" s="646"/>
      <c r="E35" s="646"/>
      <c r="F35" s="646"/>
      <c r="G35" s="647"/>
      <c r="H35" s="110"/>
      <c r="I35" s="110"/>
      <c r="J35" s="110"/>
      <c r="K35" s="110"/>
    </row>
    <row r="36" spans="1:13" s="283" customFormat="1" ht="13.5" customHeight="1">
      <c r="A36" s="645"/>
      <c r="B36" s="646"/>
      <c r="C36" s="646"/>
      <c r="D36" s="646"/>
      <c r="E36" s="646"/>
      <c r="F36" s="646"/>
      <c r="G36" s="647"/>
      <c r="L36" s="284"/>
      <c r="M36" s="284"/>
    </row>
    <row r="37" spans="1:13" s="283" customFormat="1" ht="13.5" customHeight="1">
      <c r="A37" s="645"/>
      <c r="B37" s="646"/>
      <c r="C37" s="646"/>
      <c r="D37" s="646"/>
      <c r="E37" s="646"/>
      <c r="F37" s="646"/>
      <c r="G37" s="647"/>
      <c r="L37" s="284"/>
      <c r="M37" s="284"/>
    </row>
    <row r="38" spans="1:13" s="283" customFormat="1" ht="13.5" customHeight="1">
      <c r="A38" s="645"/>
      <c r="B38" s="646"/>
      <c r="C38" s="646"/>
      <c r="D38" s="646"/>
      <c r="E38" s="646"/>
      <c r="F38" s="646"/>
      <c r="G38" s="647"/>
      <c r="L38" s="284"/>
      <c r="M38" s="284"/>
    </row>
    <row r="39" spans="1:13" s="110" customFormat="1" ht="13.5" customHeight="1">
      <c r="A39" s="645"/>
      <c r="B39" s="646"/>
      <c r="C39" s="646"/>
      <c r="D39" s="646"/>
      <c r="E39" s="646"/>
      <c r="F39" s="646"/>
      <c r="G39" s="647"/>
      <c r="L39" s="111"/>
      <c r="M39" s="111"/>
    </row>
    <row r="40" spans="1:13" s="110" customFormat="1" ht="13.5" customHeight="1">
      <c r="A40" s="645"/>
      <c r="B40" s="646"/>
      <c r="C40" s="646"/>
      <c r="D40" s="646"/>
      <c r="E40" s="646"/>
      <c r="F40" s="646"/>
      <c r="G40" s="647"/>
      <c r="L40" s="111"/>
      <c r="M40" s="111"/>
    </row>
    <row r="41" spans="1:13" s="110" customFormat="1" ht="13.5" customHeight="1">
      <c r="A41" s="645"/>
      <c r="B41" s="646"/>
      <c r="C41" s="646"/>
      <c r="D41" s="646"/>
      <c r="E41" s="646"/>
      <c r="F41" s="646"/>
      <c r="G41" s="647"/>
      <c r="L41" s="111"/>
      <c r="M41" s="111"/>
    </row>
    <row r="42" spans="1:13" s="110" customFormat="1" ht="13.5" customHeight="1">
      <c r="A42" s="645"/>
      <c r="B42" s="646"/>
      <c r="C42" s="646"/>
      <c r="D42" s="646"/>
      <c r="E42" s="646"/>
      <c r="F42" s="646"/>
      <c r="G42" s="647"/>
      <c r="L42" s="111"/>
      <c r="M42" s="111"/>
    </row>
    <row r="43" spans="1:13" s="110" customFormat="1" ht="13.5" customHeight="1">
      <c r="A43" s="645"/>
      <c r="B43" s="646"/>
      <c r="C43" s="646"/>
      <c r="D43" s="646"/>
      <c r="E43" s="646"/>
      <c r="F43" s="646"/>
      <c r="G43" s="647"/>
      <c r="L43" s="111"/>
      <c r="M43" s="111"/>
    </row>
    <row r="44" spans="1:13" s="110" customFormat="1" ht="13.5" customHeight="1">
      <c r="A44" s="645"/>
      <c r="B44" s="646"/>
      <c r="C44" s="646"/>
      <c r="D44" s="646"/>
      <c r="E44" s="646"/>
      <c r="F44" s="646"/>
      <c r="G44" s="647"/>
      <c r="L44" s="111"/>
      <c r="M44" s="111"/>
    </row>
    <row r="45" spans="1:13" s="110" customFormat="1" ht="13.5" customHeight="1">
      <c r="A45" s="645"/>
      <c r="B45" s="646"/>
      <c r="C45" s="646"/>
      <c r="D45" s="646"/>
      <c r="E45" s="646"/>
      <c r="F45" s="646"/>
      <c r="G45" s="647"/>
      <c r="L45" s="111"/>
      <c r="M45" s="111"/>
    </row>
    <row r="46" spans="1:13" s="110" customFormat="1" ht="13.5" customHeight="1">
      <c r="A46" s="645"/>
      <c r="B46" s="646"/>
      <c r="C46" s="646"/>
      <c r="D46" s="646"/>
      <c r="E46" s="646"/>
      <c r="F46" s="646"/>
      <c r="G46" s="647"/>
      <c r="L46" s="111"/>
      <c r="M46" s="111"/>
    </row>
    <row r="47" spans="1:13" s="110" customFormat="1" ht="13.5" customHeight="1">
      <c r="A47" s="645"/>
      <c r="B47" s="646"/>
      <c r="C47" s="646"/>
      <c r="D47" s="646"/>
      <c r="E47" s="646"/>
      <c r="F47" s="646"/>
      <c r="G47" s="647"/>
      <c r="L47" s="111"/>
      <c r="M47" s="111"/>
    </row>
    <row r="48" spans="1:13" s="110" customFormat="1" ht="13.5" customHeight="1">
      <c r="A48" s="645"/>
      <c r="B48" s="646"/>
      <c r="C48" s="646"/>
      <c r="D48" s="646"/>
      <c r="E48" s="646"/>
      <c r="F48" s="646"/>
      <c r="G48" s="647"/>
      <c r="L48" s="111"/>
      <c r="M48" s="111"/>
    </row>
    <row r="49" spans="1:13" s="281" customFormat="1" ht="13.5" customHeight="1">
      <c r="A49" s="645"/>
      <c r="B49" s="646"/>
      <c r="C49" s="646"/>
      <c r="D49" s="646"/>
      <c r="E49" s="646"/>
      <c r="F49" s="646"/>
      <c r="G49" s="647"/>
      <c r="L49" s="282"/>
      <c r="M49" s="282"/>
    </row>
    <row r="50" spans="1:13" s="281" customFormat="1" ht="13.5" customHeight="1">
      <c r="A50" s="645"/>
      <c r="B50" s="646"/>
      <c r="C50" s="646"/>
      <c r="D50" s="646"/>
      <c r="E50" s="646"/>
      <c r="F50" s="646"/>
      <c r="G50" s="647"/>
      <c r="L50" s="282"/>
      <c r="M50" s="282"/>
    </row>
    <row r="51" spans="1:13" s="281" customFormat="1" ht="13.5" customHeight="1">
      <c r="A51" s="645"/>
      <c r="B51" s="646"/>
      <c r="C51" s="646"/>
      <c r="D51" s="646"/>
      <c r="E51" s="646"/>
      <c r="F51" s="646"/>
      <c r="G51" s="647"/>
      <c r="L51" s="282"/>
      <c r="M51" s="282"/>
    </row>
    <row r="52" spans="1:13" s="283" customFormat="1" ht="13.5" customHeight="1">
      <c r="A52" s="645"/>
      <c r="B52" s="646"/>
      <c r="C52" s="646"/>
      <c r="D52" s="646"/>
      <c r="E52" s="646"/>
      <c r="F52" s="646"/>
      <c r="G52" s="647"/>
      <c r="L52" s="284"/>
      <c r="M52" s="284"/>
    </row>
    <row r="53" spans="1:13" s="281" customFormat="1" ht="13.5" customHeight="1">
      <c r="A53" s="645"/>
      <c r="B53" s="646"/>
      <c r="C53" s="646"/>
      <c r="D53" s="646"/>
      <c r="E53" s="646"/>
      <c r="F53" s="646"/>
      <c r="G53" s="647"/>
      <c r="L53" s="282"/>
      <c r="M53" s="282"/>
    </row>
    <row r="54" spans="1:13" s="110" customFormat="1" ht="13.5" customHeight="1">
      <c r="A54" s="645"/>
      <c r="B54" s="646"/>
      <c r="C54" s="646"/>
      <c r="D54" s="646"/>
      <c r="E54" s="646"/>
      <c r="F54" s="646"/>
      <c r="G54" s="647"/>
      <c r="L54" s="111"/>
      <c r="M54" s="111"/>
    </row>
    <row r="55" spans="1:13" s="110" customFormat="1" ht="13.5" customHeight="1">
      <c r="A55" s="645"/>
      <c r="B55" s="646"/>
      <c r="C55" s="646"/>
      <c r="D55" s="646"/>
      <c r="E55" s="646"/>
      <c r="F55" s="646"/>
      <c r="G55" s="647"/>
      <c r="L55" s="111"/>
      <c r="M55" s="111"/>
    </row>
    <row r="56" spans="1:13" s="110" customFormat="1" ht="13.5" customHeight="1">
      <c r="A56" s="645"/>
      <c r="B56" s="646"/>
      <c r="C56" s="646"/>
      <c r="D56" s="646"/>
      <c r="E56" s="646"/>
      <c r="F56" s="646"/>
      <c r="G56" s="647"/>
      <c r="L56" s="111"/>
      <c r="M56" s="111"/>
    </row>
    <row r="57" spans="1:13" s="110" customFormat="1" ht="13.5" customHeight="1">
      <c r="A57" s="645"/>
      <c r="B57" s="646"/>
      <c r="C57" s="646"/>
      <c r="D57" s="646"/>
      <c r="E57" s="646"/>
      <c r="F57" s="646"/>
      <c r="G57" s="647"/>
      <c r="L57" s="111"/>
      <c r="M57" s="111"/>
    </row>
    <row r="58" spans="1:13" s="111" customFormat="1" ht="13.5" customHeight="1">
      <c r="A58" s="645"/>
      <c r="B58" s="646"/>
      <c r="C58" s="646"/>
      <c r="D58" s="646"/>
      <c r="E58" s="646"/>
      <c r="F58" s="646"/>
      <c r="G58" s="647"/>
      <c r="H58" s="110"/>
      <c r="I58" s="110"/>
      <c r="J58" s="110"/>
      <c r="K58" s="110"/>
    </row>
    <row r="59" spans="1:13" s="1" customFormat="1" ht="21">
      <c r="A59" s="36" t="s">
        <v>32</v>
      </c>
      <c r="B59" s="59">
        <f>$B$1</f>
        <v>2</v>
      </c>
      <c r="C59" s="37" t="s">
        <v>39</v>
      </c>
      <c r="D59" s="38" t="str">
        <f>$E$1</f>
        <v>遭遇毎</v>
      </c>
      <c r="E59" s="691" t="str">
        <f>$B$2</f>
        <v>ディヴァイン・コール</v>
      </c>
      <c r="F59" s="692"/>
      <c r="G59" s="693"/>
      <c r="L59"/>
      <c r="M59" s="133"/>
    </row>
  </sheetData>
  <mergeCells count="62">
    <mergeCell ref="A27:G27"/>
    <mergeCell ref="A36:G36"/>
    <mergeCell ref="A37:G37"/>
    <mergeCell ref="A38:G38"/>
    <mergeCell ref="A48:G48"/>
    <mergeCell ref="A43:G43"/>
    <mergeCell ref="A45:G45"/>
    <mergeCell ref="A46:G46"/>
    <mergeCell ref="A47:G47"/>
    <mergeCell ref="A42:G42"/>
    <mergeCell ref="A44:G44"/>
    <mergeCell ref="H4:L4"/>
    <mergeCell ref="A33:G33"/>
    <mergeCell ref="A34:G34"/>
    <mergeCell ref="A31:G31"/>
    <mergeCell ref="A32:G32"/>
    <mergeCell ref="A28:G28"/>
    <mergeCell ref="A29:G29"/>
    <mergeCell ref="A30:G30"/>
    <mergeCell ref="B18:G18"/>
    <mergeCell ref="B16:G16"/>
    <mergeCell ref="B15:G15"/>
    <mergeCell ref="A25:G25"/>
    <mergeCell ref="A19:G19"/>
    <mergeCell ref="A26:G26"/>
    <mergeCell ref="B7:D7"/>
    <mergeCell ref="B8:G8"/>
    <mergeCell ref="B17:G17"/>
    <mergeCell ref="A23:G23"/>
    <mergeCell ref="A24:G24"/>
    <mergeCell ref="A20:G20"/>
    <mergeCell ref="A21:G21"/>
    <mergeCell ref="A22:G22"/>
    <mergeCell ref="B1:C1"/>
    <mergeCell ref="F1:G1"/>
    <mergeCell ref="B2:G2"/>
    <mergeCell ref="B5:G5"/>
    <mergeCell ref="B6:D6"/>
    <mergeCell ref="B4:G4"/>
    <mergeCell ref="J9:K9"/>
    <mergeCell ref="B11:G11"/>
    <mergeCell ref="J11:K11"/>
    <mergeCell ref="B13:G13"/>
    <mergeCell ref="B14:G14"/>
    <mergeCell ref="B12:G12"/>
    <mergeCell ref="B9:G9"/>
    <mergeCell ref="B10:G10"/>
    <mergeCell ref="E59:G59"/>
    <mergeCell ref="A58:G58"/>
    <mergeCell ref="A57:G57"/>
    <mergeCell ref="A56:G56"/>
    <mergeCell ref="A35:G35"/>
    <mergeCell ref="A39:G39"/>
    <mergeCell ref="A49:G49"/>
    <mergeCell ref="A50:G50"/>
    <mergeCell ref="A51:G51"/>
    <mergeCell ref="A53:G53"/>
    <mergeCell ref="A54:G54"/>
    <mergeCell ref="A55:G55"/>
    <mergeCell ref="A40:G40"/>
    <mergeCell ref="A41:G41"/>
    <mergeCell ref="A52:G52"/>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基本!$A$5:$A$10</xm:f>
          </x14:formula1>
          <xm:sqref>I10 I8 K15</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I7</xm:sqref>
        </x14:dataValidation>
        <x14:dataValidation type="list" allowBlank="1" showInputMessage="1" showErrorMessage="1">
          <x14:formula1>
            <xm:f>基本!$B$27:$B$31</xm:f>
          </x14:formula1>
          <xm:sqref>I6</xm:sqref>
        </x14:dataValidation>
        <x14:dataValidation type="list" allowBlank="1" showInputMessage="1" showErrorMessage="1">
          <x14:formula1>
            <xm:f>基本!$A$27:$A$33</xm:f>
          </x14:formula1>
          <xm:sqref>I5</xm:sqref>
        </x14:dataValidation>
        <x14:dataValidation type="list" allowBlank="1" showInputMessage="1" showErrorMessage="1">
          <x14:formula1>
            <xm:f>基本!$A$16:$A$19</xm:f>
          </x14:formula1>
          <xm:sqref>K8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R60"/>
  <sheetViews>
    <sheetView zoomScaleNormal="100" workbookViewId="0">
      <selection activeCell="B2" sqref="B2:G2"/>
    </sheetView>
  </sheetViews>
  <sheetFormatPr defaultRowHeight="13.5"/>
  <cols>
    <col min="1" max="1" width="7.875" style="105" customWidth="1"/>
    <col min="2" max="2" width="8.5" style="105" customWidth="1"/>
    <col min="3" max="3" width="6.625" style="105" customWidth="1"/>
    <col min="4" max="4" width="15.75" style="105" customWidth="1"/>
    <col min="5" max="6" width="15.75" style="88" customWidth="1"/>
    <col min="7" max="7" width="18.25" style="88" customWidth="1"/>
    <col min="8" max="8" width="17.375" style="88" customWidth="1"/>
    <col min="9" max="9" width="14.625" style="88" customWidth="1"/>
    <col min="10" max="10" width="8.375" style="88" customWidth="1"/>
    <col min="11" max="11" width="7.5" style="88" customWidth="1"/>
    <col min="12" max="12" width="7.875" style="105" customWidth="1"/>
    <col min="13" max="13" width="7.875" style="133" customWidth="1"/>
    <col min="14" max="14" width="9.25" style="105" customWidth="1"/>
    <col min="15" max="15" width="12.375" style="105" customWidth="1"/>
    <col min="16" max="16384" width="9" style="105"/>
  </cols>
  <sheetData>
    <row r="1" spans="1:18" ht="21">
      <c r="A1" s="116" t="s">
        <v>32</v>
      </c>
      <c r="B1" s="734">
        <v>6</v>
      </c>
      <c r="C1" s="735"/>
      <c r="D1" s="117" t="s">
        <v>39</v>
      </c>
      <c r="E1" s="118" t="s">
        <v>124</v>
      </c>
      <c r="F1" s="736"/>
      <c r="G1" s="737"/>
      <c r="H1" s="93" t="s">
        <v>54</v>
      </c>
    </row>
    <row r="2" spans="1:18" ht="24.75" customHeight="1">
      <c r="A2" s="117" t="s">
        <v>0</v>
      </c>
      <c r="B2" s="738" t="s">
        <v>919</v>
      </c>
      <c r="C2" s="738"/>
      <c r="D2" s="738"/>
      <c r="E2" s="738"/>
      <c r="F2" s="738"/>
      <c r="G2" s="738"/>
      <c r="H2" s="93" t="s">
        <v>55</v>
      </c>
    </row>
    <row r="3" spans="1:18" ht="19.5" customHeight="1">
      <c r="A3" s="99" t="s">
        <v>47</v>
      </c>
      <c r="B3" s="88"/>
      <c r="C3" s="88"/>
      <c r="D3" s="88"/>
      <c r="I3" s="93"/>
    </row>
    <row r="4" spans="1:18">
      <c r="A4" s="72" t="s">
        <v>45</v>
      </c>
      <c r="B4" s="628" t="s">
        <v>199</v>
      </c>
      <c r="C4" s="629"/>
      <c r="D4" s="629"/>
      <c r="E4" s="629"/>
      <c r="F4" s="629"/>
      <c r="G4" s="630"/>
      <c r="H4" s="539" t="s">
        <v>339</v>
      </c>
      <c r="I4" s="540"/>
      <c r="J4" s="540"/>
      <c r="K4" s="540"/>
      <c r="L4" s="541"/>
    </row>
    <row r="5" spans="1:18">
      <c r="A5" s="73" t="s">
        <v>38</v>
      </c>
      <c r="B5" s="628" t="s">
        <v>137</v>
      </c>
      <c r="C5" s="629"/>
      <c r="D5" s="629"/>
      <c r="E5" s="629"/>
      <c r="F5" s="629"/>
      <c r="G5" s="630"/>
      <c r="H5" s="103" t="s">
        <v>42</v>
      </c>
      <c r="I5" s="104" t="s">
        <v>69</v>
      </c>
      <c r="J5" s="104"/>
    </row>
    <row r="6" spans="1:18">
      <c r="A6" s="73" t="s">
        <v>7</v>
      </c>
      <c r="B6" s="709" t="s">
        <v>201</v>
      </c>
      <c r="C6" s="710"/>
      <c r="D6" s="711"/>
      <c r="E6" s="103" t="s">
        <v>42</v>
      </c>
      <c r="F6" s="102" t="str">
        <f>IF($I$5 = 0,"", $I$5)</f>
        <v>近接範囲</v>
      </c>
      <c r="G6" s="102" t="str">
        <f>IF($J$5 = 0,"", $J$5)</f>
        <v/>
      </c>
      <c r="H6" s="103" t="s">
        <v>65</v>
      </c>
      <c r="I6" s="104" t="s">
        <v>66</v>
      </c>
      <c r="J6" s="335" t="s">
        <v>484</v>
      </c>
    </row>
    <row r="7" spans="1:18">
      <c r="A7" s="74" t="s">
        <v>116</v>
      </c>
      <c r="B7" s="628" t="s">
        <v>202</v>
      </c>
      <c r="C7" s="629"/>
      <c r="D7" s="630"/>
      <c r="E7" s="103" t="s">
        <v>65</v>
      </c>
      <c r="F7" s="195" t="str">
        <f>IF($I$6 = 0,"", $I$6)</f>
        <v>爆発</v>
      </c>
      <c r="G7" s="195" t="str">
        <f>IF($J$6 = 0,"", $J$6)</f>
        <v>5 ( or 6 )</v>
      </c>
      <c r="H7" s="127" t="s">
        <v>84</v>
      </c>
      <c r="I7" s="104" t="s">
        <v>112</v>
      </c>
      <c r="J7" s="93" t="s">
        <v>61</v>
      </c>
      <c r="L7" s="230" t="s">
        <v>343</v>
      </c>
      <c r="M7" s="111"/>
    </row>
    <row r="8" spans="1:18" ht="13.5" customHeight="1">
      <c r="A8" s="76" t="s">
        <v>60</v>
      </c>
      <c r="B8" s="642" t="s">
        <v>280</v>
      </c>
      <c r="C8" s="643"/>
      <c r="D8" s="643"/>
      <c r="E8" s="643"/>
      <c r="F8" s="643"/>
      <c r="G8" s="644"/>
      <c r="H8" s="127" t="s">
        <v>50</v>
      </c>
      <c r="I8" s="104" t="s">
        <v>140</v>
      </c>
      <c r="J8" s="102">
        <f>IF($I$8 = "筋力",基本!$C$5,IF($I$8 = "耐久力",基本!$C$6,IF($I$8 = "敏捷力",基本!$C$7,IF($I$8 = "知力",基本!$C$8,IF($I$8 = "判断力",基本!$C$9,IF($I$8 = "判断力",基本!$C$10,""))))))</f>
        <v>7</v>
      </c>
      <c r="K8" s="104" t="s">
        <v>89</v>
      </c>
      <c r="L8" s="229">
        <f>$J$8+$L$9+$I$9</f>
        <v>8</v>
      </c>
      <c r="M8" s="111"/>
    </row>
    <row r="9" spans="1:18" ht="13.5" customHeight="1">
      <c r="A9" s="76"/>
      <c r="B9" s="797" t="s">
        <v>494</v>
      </c>
      <c r="C9" s="520"/>
      <c r="D9" s="520"/>
      <c r="E9" s="520"/>
      <c r="F9" s="520"/>
      <c r="G9" s="615"/>
      <c r="H9" s="127" t="s">
        <v>57</v>
      </c>
      <c r="I9" s="104">
        <v>1</v>
      </c>
      <c r="J9" s="539" t="s">
        <v>52</v>
      </c>
      <c r="K9" s="541"/>
      <c r="L9" s="102">
        <f>IF($I$7=基本!$F$4,基本!$P$7,IF($I$7=基本!$F$13,基本!$P$16,IF($I$7=基本!$F$22,基本!$P$25,IF($I$7=基本!$F$31,基本!$P$34,IF($I$7=基本!$F$40,基本!$P$43,0)))))</f>
        <v>0</v>
      </c>
      <c r="M9" s="111"/>
    </row>
    <row r="10" spans="1:18" ht="13.5" customHeight="1">
      <c r="A10" s="76"/>
      <c r="B10" s="645" t="s">
        <v>203</v>
      </c>
      <c r="C10" s="646"/>
      <c r="D10" s="646"/>
      <c r="E10" s="646"/>
      <c r="F10" s="646"/>
      <c r="G10" s="647"/>
      <c r="H10" s="98" t="s">
        <v>51</v>
      </c>
      <c r="I10" s="104" t="s">
        <v>140</v>
      </c>
      <c r="J10" s="97">
        <f>IF($I$8 = "筋力",基本!$C$5,IF($I$10 = "耐久力",基本!$C$6,IF($I$10 = "敏捷力",基本!$C$7,IF($I$10 = "知力",基本!$C$8,IF($I$10 = "判断力",基本!$C$9,IF($I$10 = "判断力",基本!$C$10,""))))))</f>
        <v>7</v>
      </c>
      <c r="L10" s="88"/>
      <c r="M10" s="111"/>
    </row>
    <row r="11" spans="1:18" ht="13.5" customHeight="1">
      <c r="A11" s="76"/>
      <c r="B11" s="645"/>
      <c r="C11" s="646"/>
      <c r="D11" s="646"/>
      <c r="E11" s="646"/>
      <c r="F11" s="646"/>
      <c r="G11" s="647"/>
      <c r="H11" s="103" t="s">
        <v>58</v>
      </c>
      <c r="I11" s="104">
        <v>0</v>
      </c>
      <c r="J11" s="539" t="s">
        <v>53</v>
      </c>
      <c r="K11" s="541"/>
      <c r="L11" s="102">
        <f>IF($I$7=基本!$F$4,基本!$P$9,IF($I$7=基本!$F$13,基本!$P$18,IF($I$7=基本!$F$22,基本!$P$27,IF($I$7=基本!$F$31,基本!$P$36,IF($I$7=基本!$F$40,基本!$P$45,0)))))</f>
        <v>0</v>
      </c>
      <c r="M11" s="111"/>
    </row>
    <row r="12" spans="1:18" ht="18.75">
      <c r="A12" s="76"/>
      <c r="B12" s="798" t="str">
        <f>"使用者＆範囲内の味方は元の位置から " &amp; 3+基本!C8 &amp; " マスまで瞬間移動"</f>
        <v>使用者＆範囲内の味方は元の位置から 6 マスまで瞬間移動</v>
      </c>
      <c r="C12" s="799"/>
      <c r="D12" s="799"/>
      <c r="E12" s="799"/>
      <c r="F12" s="799"/>
      <c r="G12" s="800"/>
      <c r="H12" s="110"/>
      <c r="I12" s="110"/>
      <c r="L12" s="230" t="s">
        <v>343</v>
      </c>
      <c r="M12" s="111"/>
      <c r="N12" s="133"/>
      <c r="O12" s="133"/>
      <c r="P12" s="133"/>
      <c r="Q12" s="133"/>
      <c r="R12" s="133"/>
    </row>
    <row r="13" spans="1:18" ht="13.5" customHeight="1">
      <c r="A13" s="76"/>
      <c r="B13" s="794"/>
      <c r="C13" s="795"/>
      <c r="D13" s="795"/>
      <c r="E13" s="795"/>
      <c r="F13" s="795"/>
      <c r="G13" s="796"/>
      <c r="H13" s="219" t="s">
        <v>85</v>
      </c>
      <c r="I13" s="104">
        <v>2</v>
      </c>
      <c r="J13" s="103" t="s">
        <v>43</v>
      </c>
      <c r="K13" s="104">
        <v>10</v>
      </c>
      <c r="L13" s="229">
        <f>$J$10+$L$11+$I$11</f>
        <v>7</v>
      </c>
      <c r="M13" s="111"/>
    </row>
    <row r="14" spans="1:18" ht="13.5" customHeight="1">
      <c r="A14" s="76"/>
      <c r="B14" s="614"/>
      <c r="C14" s="520"/>
      <c r="D14" s="520"/>
      <c r="E14" s="520"/>
      <c r="F14" s="520"/>
      <c r="G14" s="615"/>
      <c r="H14" s="103" t="s">
        <v>49</v>
      </c>
      <c r="I14" s="32">
        <f>IF($I$7=基本!$F$4,基本!$L$11,IF($I$7=基本!$F$13,基本!$L$20,IF($I$7=基本!$F$22,基本!$L$29,IF($I$7=基本!$F$31,基本!$L$38,IF($I$7=基本!$F$40,基本!$L$47,0)))))</f>
        <v>5</v>
      </c>
      <c r="J14" s="219" t="s">
        <v>341</v>
      </c>
      <c r="K14" s="32">
        <f>IF($I$7=基本!$F$4,基本!$N$11,IF($I$7=基本!$F$13,基本!$N$20,IF($I$7=基本!$F$22,基本!$N$29,IF($I$7=基本!$F$31,基本!$N$38,IF($I$7=基本!$F$40,基本!$N$47,0)))))</f>
        <v>12</v>
      </c>
      <c r="L14" s="229">
        <f>$J$10+$L$11+$I$11+($I$13*$K$13)</f>
        <v>27</v>
      </c>
      <c r="M14" s="111"/>
    </row>
    <row r="15" spans="1:18" ht="13.5" customHeight="1">
      <c r="A15" s="76"/>
      <c r="B15" s="794"/>
      <c r="C15" s="795"/>
      <c r="D15" s="795"/>
      <c r="E15" s="795"/>
      <c r="F15" s="795"/>
      <c r="G15" s="796"/>
      <c r="H15" s="103" t="s">
        <v>59</v>
      </c>
      <c r="I15" s="104"/>
      <c r="J15" s="219" t="s">
        <v>342</v>
      </c>
      <c r="K15" s="220" t="s">
        <v>15</v>
      </c>
      <c r="L15" s="218">
        <f>IF(K15="",0,VLOOKUP(K15,基本!$A$5:'基本'!$C$10,3,FALSE))</f>
        <v>3</v>
      </c>
      <c r="M15" s="111"/>
    </row>
    <row r="16" spans="1:18" ht="13.5" customHeight="1">
      <c r="A16" s="76"/>
      <c r="B16" s="614"/>
      <c r="C16" s="520"/>
      <c r="D16" s="520"/>
      <c r="E16" s="520"/>
      <c r="F16" s="520"/>
      <c r="G16" s="615"/>
    </row>
    <row r="17" spans="1:13" ht="13.5" customHeight="1">
      <c r="A17" s="76"/>
      <c r="B17" s="614"/>
      <c r="C17" s="520"/>
      <c r="D17" s="520"/>
      <c r="E17" s="520"/>
      <c r="F17" s="520"/>
      <c r="G17" s="615"/>
      <c r="J17" s="105"/>
      <c r="K17" s="105"/>
    </row>
    <row r="18" spans="1:13" ht="13.5" customHeight="1">
      <c r="A18" s="77"/>
      <c r="B18" s="716"/>
      <c r="C18" s="717"/>
      <c r="D18" s="717"/>
      <c r="E18" s="717"/>
      <c r="F18" s="717"/>
      <c r="G18" s="718"/>
      <c r="J18" s="105"/>
      <c r="K18" s="105"/>
    </row>
    <row r="19" spans="1:13" s="287" customFormat="1" ht="6.75" customHeight="1">
      <c r="A19" s="517"/>
      <c r="B19" s="517"/>
      <c r="C19" s="517"/>
      <c r="D19" s="517"/>
      <c r="E19" s="517"/>
      <c r="F19" s="517"/>
      <c r="G19" s="517"/>
      <c r="H19" s="288"/>
    </row>
    <row r="20" spans="1:13" s="287" customFormat="1" ht="14.25">
      <c r="A20" s="517" t="s">
        <v>437</v>
      </c>
      <c r="B20" s="517"/>
      <c r="C20" s="517"/>
      <c r="D20" s="517"/>
      <c r="E20" s="517"/>
      <c r="F20" s="517"/>
      <c r="G20" s="517"/>
      <c r="H20" s="288"/>
    </row>
    <row r="21" spans="1:13" s="287" customFormat="1" ht="13.5" customHeight="1">
      <c r="A21" s="529" t="s">
        <v>438</v>
      </c>
      <c r="B21" s="529"/>
      <c r="C21" s="529"/>
      <c r="D21" s="529"/>
      <c r="E21" s="529"/>
      <c r="F21" s="529"/>
      <c r="G21" s="529"/>
      <c r="H21" s="288"/>
      <c r="I21" s="288"/>
      <c r="J21" s="288"/>
      <c r="K21" s="288"/>
    </row>
    <row r="22" spans="1:13" s="287" customFormat="1" ht="13.5" customHeight="1">
      <c r="A22" s="525" t="s">
        <v>439</v>
      </c>
      <c r="B22" s="525"/>
      <c r="C22" s="525"/>
      <c r="D22" s="525"/>
      <c r="E22" s="525"/>
      <c r="F22" s="525"/>
      <c r="G22" s="525"/>
      <c r="H22" s="288"/>
      <c r="I22" s="288"/>
      <c r="J22" s="288"/>
      <c r="K22" s="288"/>
    </row>
    <row r="23" spans="1:13" ht="7.5" customHeight="1">
      <c r="A23" s="717"/>
      <c r="B23" s="717"/>
      <c r="C23" s="717"/>
      <c r="D23" s="717"/>
      <c r="E23" s="717"/>
      <c r="F23" s="717"/>
      <c r="G23" s="717"/>
    </row>
    <row r="24" spans="1:13" ht="13.5" customHeight="1">
      <c r="A24" s="619" t="s">
        <v>48</v>
      </c>
      <c r="B24" s="620"/>
      <c r="C24" s="620"/>
      <c r="D24" s="620"/>
      <c r="E24" s="620"/>
      <c r="F24" s="620"/>
      <c r="G24" s="621"/>
    </row>
    <row r="25" spans="1:13" s="110" customFormat="1" ht="13.5" customHeight="1">
      <c r="A25" s="719"/>
      <c r="B25" s="720"/>
      <c r="C25" s="720"/>
      <c r="D25" s="720"/>
      <c r="E25" s="720"/>
      <c r="F25" s="720"/>
      <c r="G25" s="721"/>
      <c r="L25" s="111"/>
      <c r="M25" s="111"/>
    </row>
    <row r="26" spans="1:13" s="110" customFormat="1" ht="13.5" customHeight="1">
      <c r="A26" s="608" t="s">
        <v>829</v>
      </c>
      <c r="B26" s="609"/>
      <c r="C26" s="609"/>
      <c r="D26" s="609"/>
      <c r="E26" s="609"/>
      <c r="F26" s="609"/>
      <c r="G26" s="610"/>
      <c r="L26" s="111"/>
      <c r="M26" s="111"/>
    </row>
    <row r="27" spans="1:13" s="110" customFormat="1" ht="13.5" customHeight="1">
      <c r="A27" s="645"/>
      <c r="B27" s="646"/>
      <c r="C27" s="646"/>
      <c r="D27" s="646"/>
      <c r="E27" s="646"/>
      <c r="F27" s="646"/>
      <c r="G27" s="647"/>
      <c r="L27" s="111"/>
      <c r="M27" s="111"/>
    </row>
    <row r="28" spans="1:13" s="110" customFormat="1" ht="13.5" customHeight="1">
      <c r="A28" s="645" t="s">
        <v>850</v>
      </c>
      <c r="B28" s="646"/>
      <c r="C28" s="646"/>
      <c r="D28" s="646"/>
      <c r="E28" s="646"/>
      <c r="F28" s="646"/>
      <c r="G28" s="647"/>
      <c r="L28" s="111"/>
      <c r="M28" s="111"/>
    </row>
    <row r="29" spans="1:13" s="110" customFormat="1" ht="13.5" customHeight="1">
      <c r="A29" s="645" t="s">
        <v>854</v>
      </c>
      <c r="B29" s="646"/>
      <c r="C29" s="646"/>
      <c r="D29" s="646"/>
      <c r="E29" s="646"/>
      <c r="F29" s="646"/>
      <c r="G29" s="647"/>
      <c r="L29" s="111"/>
      <c r="M29" s="111"/>
    </row>
    <row r="30" spans="1:13" s="110" customFormat="1" ht="13.5" customHeight="1">
      <c r="A30" s="645" t="s">
        <v>853</v>
      </c>
      <c r="B30" s="646"/>
      <c r="C30" s="646"/>
      <c r="D30" s="646"/>
      <c r="E30" s="646"/>
      <c r="F30" s="646"/>
      <c r="G30" s="647"/>
      <c r="L30" s="111"/>
      <c r="M30" s="111"/>
    </row>
    <row r="31" spans="1:13" s="110" customFormat="1" ht="13.5" customHeight="1">
      <c r="A31" s="645" t="s">
        <v>852</v>
      </c>
      <c r="B31" s="646"/>
      <c r="C31" s="646"/>
      <c r="D31" s="646"/>
      <c r="E31" s="646"/>
      <c r="F31" s="646"/>
      <c r="G31" s="647"/>
      <c r="L31" s="111"/>
      <c r="M31" s="111"/>
    </row>
    <row r="32" spans="1:13" s="110" customFormat="1" ht="13.5" customHeight="1">
      <c r="A32" s="645" t="s">
        <v>851</v>
      </c>
      <c r="B32" s="646"/>
      <c r="C32" s="646"/>
      <c r="D32" s="646"/>
      <c r="E32" s="646"/>
      <c r="F32" s="646"/>
      <c r="G32" s="647"/>
      <c r="L32" s="111"/>
      <c r="M32" s="111"/>
    </row>
    <row r="33" spans="1:13" s="111" customFormat="1" ht="13.5" customHeight="1">
      <c r="A33" s="645"/>
      <c r="B33" s="646"/>
      <c r="C33" s="646"/>
      <c r="D33" s="646"/>
      <c r="E33" s="646"/>
      <c r="F33" s="646"/>
      <c r="G33" s="647"/>
      <c r="H33" s="110"/>
      <c r="I33" s="110"/>
      <c r="J33" s="110"/>
      <c r="K33" s="110"/>
    </row>
    <row r="34" spans="1:13" s="110" customFormat="1" ht="13.5" customHeight="1">
      <c r="A34" s="645" t="s">
        <v>855</v>
      </c>
      <c r="B34" s="646"/>
      <c r="C34" s="646"/>
      <c r="D34" s="646"/>
      <c r="E34" s="646"/>
      <c r="F34" s="646"/>
      <c r="G34" s="647"/>
      <c r="L34" s="111"/>
      <c r="M34" s="111"/>
    </row>
    <row r="35" spans="1:13" s="110" customFormat="1" ht="13.5" customHeight="1">
      <c r="A35" s="645" t="s">
        <v>858</v>
      </c>
      <c r="B35" s="646"/>
      <c r="C35" s="646"/>
      <c r="D35" s="646"/>
      <c r="E35" s="646"/>
      <c r="F35" s="646"/>
      <c r="G35" s="647"/>
      <c r="L35" s="111"/>
      <c r="M35" s="111"/>
    </row>
    <row r="36" spans="1:13" s="110" customFormat="1" ht="13.5" customHeight="1">
      <c r="A36" s="645" t="s">
        <v>856</v>
      </c>
      <c r="B36" s="646"/>
      <c r="C36" s="646"/>
      <c r="D36" s="646"/>
      <c r="E36" s="646"/>
      <c r="F36" s="646"/>
      <c r="G36" s="647"/>
      <c r="L36" s="111"/>
      <c r="M36" s="111"/>
    </row>
    <row r="37" spans="1:13" s="110" customFormat="1" ht="13.5" customHeight="1">
      <c r="A37" s="645" t="s">
        <v>857</v>
      </c>
      <c r="B37" s="646"/>
      <c r="C37" s="646"/>
      <c r="D37" s="646"/>
      <c r="E37" s="646"/>
      <c r="F37" s="646"/>
      <c r="G37" s="647"/>
      <c r="L37" s="111"/>
      <c r="M37" s="111"/>
    </row>
    <row r="38" spans="1:13" s="110" customFormat="1" ht="13.5" customHeight="1">
      <c r="A38" s="645" t="s">
        <v>859</v>
      </c>
      <c r="B38" s="646"/>
      <c r="C38" s="646"/>
      <c r="D38" s="646"/>
      <c r="E38" s="646"/>
      <c r="F38" s="646"/>
      <c r="G38" s="647"/>
      <c r="L38" s="111"/>
      <c r="M38" s="111"/>
    </row>
    <row r="39" spans="1:13" s="110" customFormat="1" ht="13.5" customHeight="1">
      <c r="A39" s="645" t="s">
        <v>860</v>
      </c>
      <c r="B39" s="646"/>
      <c r="C39" s="646"/>
      <c r="D39" s="646"/>
      <c r="E39" s="646"/>
      <c r="F39" s="646"/>
      <c r="G39" s="647"/>
      <c r="L39" s="111"/>
      <c r="M39" s="111"/>
    </row>
    <row r="40" spans="1:13" s="110" customFormat="1" ht="13.5" customHeight="1">
      <c r="A40" s="645"/>
      <c r="B40" s="646"/>
      <c r="C40" s="646"/>
      <c r="D40" s="646"/>
      <c r="E40" s="646"/>
      <c r="F40" s="646"/>
      <c r="G40" s="647"/>
      <c r="L40" s="111"/>
      <c r="M40" s="111"/>
    </row>
    <row r="41" spans="1:13" s="110" customFormat="1" ht="13.5" customHeight="1">
      <c r="A41" s="645"/>
      <c r="B41" s="646"/>
      <c r="C41" s="646"/>
      <c r="D41" s="646"/>
      <c r="E41" s="646"/>
      <c r="F41" s="646"/>
      <c r="G41" s="647"/>
      <c r="L41" s="111"/>
      <c r="M41" s="111"/>
    </row>
    <row r="42" spans="1:13" s="110" customFormat="1" ht="13.5" customHeight="1">
      <c r="A42" s="645"/>
      <c r="B42" s="646"/>
      <c r="C42" s="646"/>
      <c r="D42" s="646"/>
      <c r="E42" s="646"/>
      <c r="F42" s="646"/>
      <c r="G42" s="647"/>
      <c r="L42" s="111"/>
      <c r="M42" s="111"/>
    </row>
    <row r="43" spans="1:13" s="110" customFormat="1" ht="13.5" customHeight="1">
      <c r="A43" s="645"/>
      <c r="B43" s="646"/>
      <c r="C43" s="646"/>
      <c r="D43" s="646"/>
      <c r="E43" s="646"/>
      <c r="F43" s="646"/>
      <c r="G43" s="647"/>
      <c r="L43" s="111"/>
      <c r="M43" s="111"/>
    </row>
    <row r="44" spans="1:13" s="110" customFormat="1" ht="13.5" customHeight="1">
      <c r="A44" s="645"/>
      <c r="B44" s="646"/>
      <c r="C44" s="646"/>
      <c r="D44" s="646"/>
      <c r="E44" s="646"/>
      <c r="F44" s="646"/>
      <c r="G44" s="647"/>
      <c r="L44" s="111"/>
      <c r="M44" s="111"/>
    </row>
    <row r="45" spans="1:13" s="110" customFormat="1" ht="13.5" customHeight="1">
      <c r="A45" s="645"/>
      <c r="B45" s="646"/>
      <c r="C45" s="646"/>
      <c r="D45" s="646"/>
      <c r="E45" s="646"/>
      <c r="F45" s="646"/>
      <c r="G45" s="647"/>
      <c r="L45" s="111"/>
      <c r="M45" s="111"/>
    </row>
    <row r="46" spans="1:13" s="110" customFormat="1" ht="13.5" customHeight="1">
      <c r="A46" s="645"/>
      <c r="B46" s="646"/>
      <c r="C46" s="646"/>
      <c r="D46" s="646"/>
      <c r="E46" s="646"/>
      <c r="F46" s="646"/>
      <c r="G46" s="647"/>
      <c r="L46" s="111"/>
      <c r="M46" s="111"/>
    </row>
    <row r="47" spans="1:13" s="110" customFormat="1" ht="13.5" customHeight="1">
      <c r="A47" s="645"/>
      <c r="B47" s="646"/>
      <c r="C47" s="646"/>
      <c r="D47" s="646"/>
      <c r="E47" s="646"/>
      <c r="F47" s="646"/>
      <c r="G47" s="647"/>
      <c r="L47" s="111"/>
      <c r="M47" s="111"/>
    </row>
    <row r="48" spans="1:13" s="110" customFormat="1" ht="13.5" customHeight="1">
      <c r="A48" s="645"/>
      <c r="B48" s="646"/>
      <c r="C48" s="646"/>
      <c r="D48" s="646"/>
      <c r="E48" s="646"/>
      <c r="F48" s="646"/>
      <c r="G48" s="647"/>
      <c r="L48" s="111"/>
      <c r="M48" s="111"/>
    </row>
    <row r="49" spans="1:13" s="281" customFormat="1" ht="13.5" customHeight="1">
      <c r="A49" s="645"/>
      <c r="B49" s="646"/>
      <c r="C49" s="646"/>
      <c r="D49" s="646"/>
      <c r="E49" s="646"/>
      <c r="F49" s="646"/>
      <c r="G49" s="647"/>
      <c r="L49" s="282"/>
      <c r="M49" s="282"/>
    </row>
    <row r="50" spans="1:13" s="281" customFormat="1" ht="13.5" customHeight="1">
      <c r="A50" s="645"/>
      <c r="B50" s="646"/>
      <c r="C50" s="646"/>
      <c r="D50" s="646"/>
      <c r="E50" s="646"/>
      <c r="F50" s="646"/>
      <c r="G50" s="647"/>
      <c r="L50" s="282"/>
      <c r="M50" s="282"/>
    </row>
    <row r="51" spans="1:13" s="281" customFormat="1" ht="13.5" customHeight="1">
      <c r="A51" s="645"/>
      <c r="B51" s="646"/>
      <c r="C51" s="646"/>
      <c r="D51" s="646"/>
      <c r="E51" s="646"/>
      <c r="F51" s="646"/>
      <c r="G51" s="647"/>
      <c r="L51" s="282"/>
      <c r="M51" s="282"/>
    </row>
    <row r="52" spans="1:13" s="281" customFormat="1" ht="13.5" customHeight="1">
      <c r="A52" s="645"/>
      <c r="B52" s="646"/>
      <c r="C52" s="646"/>
      <c r="D52" s="646"/>
      <c r="E52" s="646"/>
      <c r="F52" s="646"/>
      <c r="G52" s="647"/>
      <c r="L52" s="282"/>
      <c r="M52" s="282"/>
    </row>
    <row r="53" spans="1:13" s="283" customFormat="1" ht="13.5" customHeight="1">
      <c r="A53" s="645"/>
      <c r="B53" s="646"/>
      <c r="C53" s="646"/>
      <c r="D53" s="646"/>
      <c r="E53" s="646"/>
      <c r="F53" s="646"/>
      <c r="G53" s="647"/>
      <c r="L53" s="284"/>
      <c r="M53" s="284"/>
    </row>
    <row r="54" spans="1:13" s="281" customFormat="1" ht="13.5" customHeight="1">
      <c r="A54" s="645"/>
      <c r="B54" s="646"/>
      <c r="C54" s="646"/>
      <c r="D54" s="646"/>
      <c r="E54" s="646"/>
      <c r="F54" s="646"/>
      <c r="G54" s="647"/>
      <c r="L54" s="282"/>
      <c r="M54" s="282"/>
    </row>
    <row r="55" spans="1:13" s="110" customFormat="1" ht="13.5" customHeight="1">
      <c r="A55" s="645"/>
      <c r="B55" s="646"/>
      <c r="C55" s="646"/>
      <c r="D55" s="646"/>
      <c r="E55" s="646"/>
      <c r="F55" s="646"/>
      <c r="G55" s="647"/>
      <c r="L55" s="111"/>
      <c r="M55" s="111"/>
    </row>
    <row r="56" spans="1:13" s="110" customFormat="1" ht="13.5" customHeight="1">
      <c r="A56" s="645"/>
      <c r="B56" s="646"/>
      <c r="C56" s="646"/>
      <c r="D56" s="646"/>
      <c r="E56" s="646"/>
      <c r="F56" s="646"/>
      <c r="G56" s="647"/>
      <c r="L56" s="111"/>
      <c r="M56" s="111"/>
    </row>
    <row r="57" spans="1:13" s="110" customFormat="1" ht="13.5" customHeight="1">
      <c r="A57" s="645"/>
      <c r="B57" s="646"/>
      <c r="C57" s="646"/>
      <c r="D57" s="646"/>
      <c r="E57" s="646"/>
      <c r="F57" s="646"/>
      <c r="G57" s="647"/>
      <c r="L57" s="111"/>
      <c r="M57" s="111"/>
    </row>
    <row r="58" spans="1:13" s="110" customFormat="1" ht="13.5" customHeight="1">
      <c r="A58" s="645"/>
      <c r="B58" s="646"/>
      <c r="C58" s="646"/>
      <c r="D58" s="646"/>
      <c r="E58" s="646"/>
      <c r="F58" s="646"/>
      <c r="G58" s="647"/>
      <c r="L58" s="111"/>
      <c r="M58" s="111"/>
    </row>
    <row r="59" spans="1:13" s="111" customFormat="1" ht="13.5" customHeight="1">
      <c r="A59" s="645"/>
      <c r="B59" s="646"/>
      <c r="C59" s="646"/>
      <c r="D59" s="646"/>
      <c r="E59" s="646"/>
      <c r="F59" s="646"/>
      <c r="G59" s="647"/>
      <c r="H59" s="110"/>
      <c r="I59" s="110"/>
      <c r="J59" s="110"/>
      <c r="K59" s="110"/>
    </row>
    <row r="60" spans="1:13" s="88" customFormat="1" ht="21">
      <c r="A60" s="119" t="s">
        <v>32</v>
      </c>
      <c r="B60" s="128">
        <f>$B$1</f>
        <v>6</v>
      </c>
      <c r="C60" s="121" t="s">
        <v>39</v>
      </c>
      <c r="D60" s="122" t="str">
        <f>$E$1</f>
        <v>一日毎</v>
      </c>
      <c r="E60" s="725" t="str">
        <f>$B$2</f>
        <v>アストラル・ステップ</v>
      </c>
      <c r="F60" s="726"/>
      <c r="G60" s="727"/>
      <c r="L60" s="105"/>
      <c r="M60" s="133"/>
    </row>
  </sheetData>
  <mergeCells count="63">
    <mergeCell ref="A54:G54"/>
    <mergeCell ref="A31:G31"/>
    <mergeCell ref="A29:G29"/>
    <mergeCell ref="A28:G28"/>
    <mergeCell ref="A53:G53"/>
    <mergeCell ref="A41:G41"/>
    <mergeCell ref="A32:G32"/>
    <mergeCell ref="A42:G42"/>
    <mergeCell ref="A43:G43"/>
    <mergeCell ref="A44:G44"/>
    <mergeCell ref="A45:G45"/>
    <mergeCell ref="A46:G46"/>
    <mergeCell ref="A47:G47"/>
    <mergeCell ref="A48:G48"/>
    <mergeCell ref="A49:G49"/>
    <mergeCell ref="A50:G50"/>
    <mergeCell ref="E60:G60"/>
    <mergeCell ref="A55:G55"/>
    <mergeCell ref="A56:G56"/>
    <mergeCell ref="A57:G57"/>
    <mergeCell ref="A58:G58"/>
    <mergeCell ref="A59:G59"/>
    <mergeCell ref="A51:G51"/>
    <mergeCell ref="A52:G52"/>
    <mergeCell ref="A30:G30"/>
    <mergeCell ref="A27:G27"/>
    <mergeCell ref="A34:G34"/>
    <mergeCell ref="A35:G35"/>
    <mergeCell ref="A36:G36"/>
    <mergeCell ref="A37:G37"/>
    <mergeCell ref="A38:G38"/>
    <mergeCell ref="A39:G39"/>
    <mergeCell ref="A40:G40"/>
    <mergeCell ref="A33:G33"/>
    <mergeCell ref="B13:G13"/>
    <mergeCell ref="B14:G14"/>
    <mergeCell ref="B17:G17"/>
    <mergeCell ref="B12:G12"/>
    <mergeCell ref="B15:G15"/>
    <mergeCell ref="A26:G26"/>
    <mergeCell ref="B16:G16"/>
    <mergeCell ref="B18:G18"/>
    <mergeCell ref="A23:G23"/>
    <mergeCell ref="A24:G24"/>
    <mergeCell ref="A25:G25"/>
    <mergeCell ref="A20:G20"/>
    <mergeCell ref="A21:G21"/>
    <mergeCell ref="A22:G22"/>
    <mergeCell ref="A19:G19"/>
    <mergeCell ref="J9:K9"/>
    <mergeCell ref="B11:G11"/>
    <mergeCell ref="B1:C1"/>
    <mergeCell ref="F1:G1"/>
    <mergeCell ref="B2:G2"/>
    <mergeCell ref="B4:G4"/>
    <mergeCell ref="B5:G5"/>
    <mergeCell ref="B6:D6"/>
    <mergeCell ref="B7:D7"/>
    <mergeCell ref="B8:G8"/>
    <mergeCell ref="B9:G9"/>
    <mergeCell ref="B10:G10"/>
    <mergeCell ref="H4:L4"/>
    <mergeCell ref="J11:K11"/>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基本!$A$16:$A$19</xm:f>
          </x14:formula1>
          <xm:sqref>K8</xm:sqref>
        </x14:dataValidation>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 type="list" allowBlank="1" showInputMessage="1" showErrorMessage="1">
          <x14:formula1>
            <xm:f>基本!$D$27:$D$31</xm:f>
          </x14:formula1>
          <xm:sqref>I7</xm:sqref>
        </x14:dataValidation>
        <x14:dataValidation type="list" allowBlank="1" showInputMessage="1" showErrorMessage="1">
          <x14:formula1>
            <xm:f>基本!$C$27:$C$37</xm:f>
          </x14:formula1>
          <xm:sqref>I15</xm:sqref>
        </x14:dataValidation>
        <x14:dataValidation type="list" allowBlank="1" showInputMessage="1" showErrorMessage="1">
          <x14:formula1>
            <xm:f>基本!$A$5:$A$10</xm:f>
          </x14:formula1>
          <xm:sqref>I10 I8 K15</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7"/>
  <sheetViews>
    <sheetView topLeftCell="A16" zoomScaleNormal="100" workbookViewId="0">
      <selection activeCell="A25" sqref="A25:G25"/>
    </sheetView>
  </sheetViews>
  <sheetFormatPr defaultRowHeight="13.5"/>
  <cols>
    <col min="1" max="1" width="7.875" style="133" customWidth="1"/>
    <col min="2" max="2" width="8.5" style="133" customWidth="1"/>
    <col min="3" max="3" width="6.625" style="133" customWidth="1"/>
    <col min="4" max="4" width="15.75" style="133" customWidth="1"/>
    <col min="5" max="6" width="15.75" style="88" customWidth="1"/>
    <col min="7" max="7" width="18.25" style="88" customWidth="1"/>
    <col min="8" max="8" width="17.375" style="88" customWidth="1"/>
    <col min="9" max="9" width="14.625" style="88" customWidth="1"/>
    <col min="10" max="10" width="8.375" style="88" customWidth="1"/>
    <col min="11" max="11" width="7.5" style="88" customWidth="1"/>
    <col min="12" max="13" width="7.875" style="133" customWidth="1"/>
    <col min="14" max="14" width="9.25" style="133" customWidth="1"/>
    <col min="15" max="15" width="12.375" style="133" customWidth="1"/>
    <col min="16" max="16384" width="9" style="133"/>
  </cols>
  <sheetData>
    <row r="1" spans="1:13" ht="21">
      <c r="A1" s="39" t="s">
        <v>32</v>
      </c>
      <c r="B1" s="676">
        <v>10</v>
      </c>
      <c r="C1" s="677"/>
      <c r="D1" s="40" t="s">
        <v>39</v>
      </c>
      <c r="E1" s="41" t="s">
        <v>56</v>
      </c>
      <c r="F1" s="678"/>
      <c r="G1" s="679"/>
      <c r="H1" s="93" t="s">
        <v>54</v>
      </c>
    </row>
    <row r="2" spans="1:13" ht="24.75" customHeight="1">
      <c r="A2" s="40" t="s">
        <v>0</v>
      </c>
      <c r="B2" s="680" t="s">
        <v>566</v>
      </c>
      <c r="C2" s="680"/>
      <c r="D2" s="680"/>
      <c r="E2" s="680"/>
      <c r="F2" s="680"/>
      <c r="G2" s="680"/>
      <c r="H2" s="93" t="s">
        <v>55</v>
      </c>
    </row>
    <row r="3" spans="1:13" ht="19.5" customHeight="1">
      <c r="A3" s="99" t="s">
        <v>47</v>
      </c>
      <c r="B3" s="88"/>
      <c r="C3" s="88"/>
      <c r="D3" s="88"/>
      <c r="I3" s="93"/>
    </row>
    <row r="4" spans="1:13">
      <c r="A4" s="72" t="s">
        <v>45</v>
      </c>
      <c r="B4" s="628" t="s">
        <v>326</v>
      </c>
      <c r="C4" s="629"/>
      <c r="D4" s="629"/>
      <c r="E4" s="629"/>
      <c r="F4" s="629"/>
      <c r="G4" s="630"/>
      <c r="H4" s="539" t="s">
        <v>339</v>
      </c>
      <c r="I4" s="540"/>
      <c r="J4" s="540"/>
      <c r="K4" s="540"/>
      <c r="L4" s="541"/>
    </row>
    <row r="5" spans="1:13">
      <c r="A5" s="73" t="s">
        <v>38</v>
      </c>
      <c r="B5" s="628" t="s">
        <v>327</v>
      </c>
      <c r="C5" s="629"/>
      <c r="D5" s="629"/>
      <c r="E5" s="629"/>
      <c r="F5" s="629"/>
      <c r="G5" s="630"/>
      <c r="H5" s="214" t="s">
        <v>42</v>
      </c>
      <c r="I5" s="216" t="s">
        <v>70</v>
      </c>
      <c r="J5" s="216">
        <v>10</v>
      </c>
    </row>
    <row r="6" spans="1:13">
      <c r="A6" s="73" t="s">
        <v>7</v>
      </c>
      <c r="B6" s="681" t="s">
        <v>126</v>
      </c>
      <c r="C6" s="682"/>
      <c r="D6" s="683"/>
      <c r="E6" s="214" t="s">
        <v>42</v>
      </c>
      <c r="F6" s="195" t="str">
        <f>IF($I$5 = 0,"", $I$5)</f>
        <v>遠隔</v>
      </c>
      <c r="G6" s="195">
        <f>IF($J$5 = 0,"", $J$5)</f>
        <v>10</v>
      </c>
      <c r="H6" s="214" t="s">
        <v>65</v>
      </c>
      <c r="I6" s="216"/>
      <c r="J6" s="216"/>
    </row>
    <row r="7" spans="1:13">
      <c r="A7" s="74" t="s">
        <v>6</v>
      </c>
      <c r="B7" s="628" t="s">
        <v>328</v>
      </c>
      <c r="C7" s="629"/>
      <c r="D7" s="630"/>
      <c r="E7" s="214" t="s">
        <v>65</v>
      </c>
      <c r="F7" s="215" t="str">
        <f>IF($I$6 = 0,"", $I$6)</f>
        <v/>
      </c>
      <c r="G7" s="215" t="str">
        <f>IF($J$6 = 0,"", $J$6)</f>
        <v/>
      </c>
      <c r="H7" s="214" t="s">
        <v>84</v>
      </c>
      <c r="I7" s="216" t="s">
        <v>112</v>
      </c>
      <c r="J7" s="93" t="s">
        <v>61</v>
      </c>
      <c r="L7" s="230" t="s">
        <v>343</v>
      </c>
    </row>
    <row r="8" spans="1:13" ht="13.5" customHeight="1">
      <c r="A8" s="75" t="s">
        <v>60</v>
      </c>
      <c r="B8" s="642" t="s">
        <v>329</v>
      </c>
      <c r="C8" s="643"/>
      <c r="D8" s="643"/>
      <c r="E8" s="643"/>
      <c r="F8" s="643"/>
      <c r="G8" s="644"/>
      <c r="H8" s="214" t="s">
        <v>50</v>
      </c>
      <c r="I8" s="216" t="s">
        <v>139</v>
      </c>
      <c r="J8" s="215">
        <f>IF($I$8 = "筋力",基本!$C$5,IF($I$8 = "耐久力",基本!$C$6,IF($I$8 = "敏捷力",基本!$C$7,IF($I$8 = "知力",基本!$C$8,IF($I$8 = "判断力",基本!$C$9,IF($I$8 = "判断力",基本!$C$10,""))))))</f>
        <v>7</v>
      </c>
      <c r="K8" s="216" t="s">
        <v>89</v>
      </c>
      <c r="L8" s="229">
        <f>$J$8+$L$9+$I$9</f>
        <v>8</v>
      </c>
    </row>
    <row r="9" spans="1:13" ht="13.5" customHeight="1">
      <c r="A9" s="76"/>
      <c r="B9" s="614" t="s">
        <v>330</v>
      </c>
      <c r="C9" s="520"/>
      <c r="D9" s="520"/>
      <c r="E9" s="520"/>
      <c r="F9" s="520"/>
      <c r="G9" s="615"/>
      <c r="H9" s="214" t="s">
        <v>57</v>
      </c>
      <c r="I9" s="216">
        <v>1</v>
      </c>
      <c r="J9" s="539" t="s">
        <v>52</v>
      </c>
      <c r="K9" s="541"/>
      <c r="L9" s="215">
        <f>IF($I$7=基本!$F$4,基本!$P$7,IF($I$7=基本!$F$13,基本!$P$16,IF($I$7=基本!$F$22,基本!$P$25,IF($I$7=基本!$F$31,基本!$P$34,IF($I$7=基本!$F$40,基本!$P$43,0)))))</f>
        <v>0</v>
      </c>
    </row>
    <row r="10" spans="1:13" ht="13.5" customHeight="1">
      <c r="A10" s="76"/>
      <c r="B10" s="645" t="s">
        <v>331</v>
      </c>
      <c r="C10" s="646"/>
      <c r="D10" s="646"/>
      <c r="E10" s="646"/>
      <c r="F10" s="646"/>
      <c r="G10" s="647"/>
      <c r="H10" s="213" t="s">
        <v>51</v>
      </c>
      <c r="I10" s="216" t="s">
        <v>139</v>
      </c>
      <c r="J10" s="97">
        <f>IF($I$8 = "筋力",基本!$C$5,IF($I$10 = "耐久力",基本!$C$6,IF($I$10 = "敏捷力",基本!$C$7,IF($I$10 = "知力",基本!$C$8,IF($I$10 = "判断力",基本!$C$9,IF($I$10 = "判断力",基本!$C$10,""))))))</f>
        <v>7</v>
      </c>
      <c r="L10" s="88"/>
    </row>
    <row r="11" spans="1:13" ht="17.25">
      <c r="A11" s="76"/>
      <c r="B11" s="614" t="s">
        <v>332</v>
      </c>
      <c r="C11" s="520"/>
      <c r="D11" s="520"/>
      <c r="E11" s="520"/>
      <c r="F11" s="520"/>
      <c r="G11" s="615"/>
      <c r="H11" s="214" t="s">
        <v>58</v>
      </c>
      <c r="I11" s="216">
        <v>0</v>
      </c>
      <c r="J11" s="539" t="s">
        <v>53</v>
      </c>
      <c r="K11" s="541"/>
      <c r="L11" s="215">
        <f>IF($I$7=基本!$F$4,基本!$P$9,IF($I$7=基本!$F$13,基本!$P$18,IF($I$7=基本!$F$22,基本!$P$27,IF($I$7=基本!$F$31,基本!$P$36,IF($I$7=基本!$F$40,基本!$P$45,0)))))</f>
        <v>0</v>
      </c>
      <c r="M11" s="111"/>
    </row>
    <row r="12" spans="1:13" ht="17.25">
      <c r="A12" s="76"/>
      <c r="B12" s="645" t="s">
        <v>333</v>
      </c>
      <c r="C12" s="646"/>
      <c r="D12" s="646"/>
      <c r="E12" s="646"/>
      <c r="F12" s="646"/>
      <c r="G12" s="647"/>
      <c r="H12" s="110"/>
      <c r="I12" s="110"/>
      <c r="J12" s="133"/>
      <c r="K12" s="133"/>
      <c r="L12" s="230" t="s">
        <v>343</v>
      </c>
    </row>
    <row r="13" spans="1:13" ht="13.5" customHeight="1">
      <c r="A13" s="76"/>
      <c r="B13" s="794"/>
      <c r="C13" s="795"/>
      <c r="D13" s="795"/>
      <c r="E13" s="795"/>
      <c r="F13" s="795"/>
      <c r="G13" s="796"/>
      <c r="H13" s="219" t="s">
        <v>85</v>
      </c>
      <c r="I13" s="216">
        <v>1</v>
      </c>
      <c r="J13" s="214" t="s">
        <v>43</v>
      </c>
      <c r="K13" s="216">
        <v>10</v>
      </c>
      <c r="L13" s="229">
        <f>$J$10+$L$11+$I$11</f>
        <v>7</v>
      </c>
      <c r="M13" s="111"/>
    </row>
    <row r="14" spans="1:13" ht="13.5" customHeight="1">
      <c r="A14" s="76"/>
      <c r="B14" s="614"/>
      <c r="C14" s="520"/>
      <c r="D14" s="520"/>
      <c r="E14" s="520"/>
      <c r="F14" s="520"/>
      <c r="G14" s="615"/>
      <c r="H14" s="214" t="s">
        <v>49</v>
      </c>
      <c r="I14" s="32">
        <f>IF($I$7=基本!$F$4,基本!$L$11,IF($I$7=基本!$F$13,基本!$L$20,IF($I$7=基本!$F$22,基本!$L$29,IF($I$7=基本!$F$31,基本!$L$38,IF($I$7=基本!$F$40,基本!$L$47,0)))))</f>
        <v>5</v>
      </c>
      <c r="J14" s="219" t="s">
        <v>341</v>
      </c>
      <c r="K14" s="32">
        <f>IF($I$7=基本!$F$4,基本!$N$11,IF($I$7=基本!$F$13,基本!$N$20,IF($I$7=基本!$F$22,基本!$N$29,IF($I$7=基本!$F$31,基本!$N$38,IF($I$7=基本!$F$40,基本!$N$47,0)))))</f>
        <v>12</v>
      </c>
      <c r="L14" s="229">
        <f>$J$10+$L$11+$I$11+($I$13*$K$13)</f>
        <v>17</v>
      </c>
      <c r="M14" s="111"/>
    </row>
    <row r="15" spans="1:13" ht="17.25">
      <c r="A15" s="76"/>
      <c r="B15" s="698" t="str">
        <f xml:space="preserve"> "　　　　　　　　" &amp; 10+基本!$B$3+$J$8 &amp; " の&lt;知覚&gt;判定に成功しないと気付かない"</f>
        <v>　　　　　　　　34 の&lt;知覚&gt;判定に成功しないと気付かない</v>
      </c>
      <c r="C15" s="699"/>
      <c r="D15" s="699"/>
      <c r="E15" s="699"/>
      <c r="F15" s="699"/>
      <c r="G15" s="700"/>
      <c r="H15" s="214" t="s">
        <v>59</v>
      </c>
      <c r="I15" s="216"/>
      <c r="J15" s="219" t="s">
        <v>342</v>
      </c>
      <c r="K15" s="220" t="s">
        <v>15</v>
      </c>
      <c r="L15" s="218">
        <f>IF(K15="",0,VLOOKUP(K15,基本!$A$5:'基本'!$C$10,3,FALSE))</f>
        <v>3</v>
      </c>
      <c r="M15" s="111"/>
    </row>
    <row r="16" spans="1:13" ht="13.5" customHeight="1">
      <c r="A16" s="76"/>
      <c r="B16" s="614"/>
      <c r="C16" s="520"/>
      <c r="D16" s="520"/>
      <c r="E16" s="520"/>
      <c r="F16" s="520"/>
      <c r="G16" s="615"/>
    </row>
    <row r="17" spans="1:13" ht="13.5" customHeight="1">
      <c r="A17" s="77"/>
      <c r="B17" s="716"/>
      <c r="C17" s="717"/>
      <c r="D17" s="717"/>
      <c r="E17" s="717"/>
      <c r="F17" s="717"/>
      <c r="G17" s="718"/>
      <c r="J17" s="133"/>
      <c r="K17" s="133"/>
    </row>
    <row r="18" spans="1:13" ht="8.25" customHeight="1">
      <c r="A18" s="523"/>
      <c r="B18" s="523"/>
      <c r="C18" s="523"/>
      <c r="D18" s="523"/>
      <c r="E18" s="523"/>
      <c r="F18" s="523"/>
      <c r="G18" s="523"/>
    </row>
    <row r="19" spans="1:13" s="287" customFormat="1" ht="18.75" customHeight="1">
      <c r="A19" s="517" t="s">
        <v>149</v>
      </c>
      <c r="B19" s="517"/>
      <c r="C19" s="517"/>
      <c r="D19" s="517"/>
      <c r="E19" s="517"/>
      <c r="F19" s="517"/>
      <c r="G19" s="517"/>
      <c r="H19" s="288"/>
    </row>
    <row r="20" spans="1:13" s="287" customFormat="1" ht="13.5" customHeight="1">
      <c r="A20" s="529" t="s">
        <v>533</v>
      </c>
      <c r="B20" s="529"/>
      <c r="C20" s="529"/>
      <c r="D20" s="529"/>
      <c r="E20" s="529"/>
      <c r="F20" s="529"/>
      <c r="G20" s="529"/>
      <c r="H20" s="288"/>
      <c r="I20" s="288"/>
      <c r="J20" s="288"/>
      <c r="K20" s="288"/>
    </row>
    <row r="21" spans="1:13" s="287" customFormat="1" ht="13.5" customHeight="1">
      <c r="A21" s="529" t="s">
        <v>151</v>
      </c>
      <c r="B21" s="529"/>
      <c r="C21" s="529"/>
      <c r="D21" s="529"/>
      <c r="E21" s="529"/>
      <c r="F21" s="529"/>
      <c r="G21" s="529"/>
      <c r="H21" s="288"/>
      <c r="I21" s="288"/>
      <c r="J21" s="288"/>
      <c r="K21" s="288"/>
    </row>
    <row r="22" spans="1:13" ht="7.5" customHeight="1">
      <c r="A22" s="717"/>
      <c r="B22" s="717"/>
      <c r="C22" s="717"/>
      <c r="D22" s="717"/>
      <c r="E22" s="717"/>
      <c r="F22" s="717"/>
      <c r="G22" s="717"/>
    </row>
    <row r="23" spans="1:13" ht="13.5" customHeight="1">
      <c r="A23" s="619" t="s">
        <v>48</v>
      </c>
      <c r="B23" s="620"/>
      <c r="C23" s="620"/>
      <c r="D23" s="620"/>
      <c r="E23" s="620"/>
      <c r="F23" s="620"/>
      <c r="G23" s="621"/>
    </row>
    <row r="24" spans="1:13" s="110" customFormat="1" ht="13.5" customHeight="1">
      <c r="A24" s="719"/>
      <c r="B24" s="720"/>
      <c r="C24" s="720"/>
      <c r="D24" s="720"/>
      <c r="E24" s="720"/>
      <c r="F24" s="720"/>
      <c r="G24" s="721"/>
      <c r="L24" s="111"/>
      <c r="M24" s="111"/>
    </row>
    <row r="25" spans="1:13" s="486" customFormat="1" ht="21.75" customHeight="1">
      <c r="A25" s="698" t="s">
        <v>849</v>
      </c>
      <c r="B25" s="699"/>
      <c r="C25" s="699"/>
      <c r="D25" s="699"/>
      <c r="E25" s="699"/>
      <c r="F25" s="699"/>
      <c r="G25" s="700"/>
      <c r="L25" s="487"/>
      <c r="M25" s="487"/>
    </row>
    <row r="26" spans="1:13" s="283" customFormat="1" ht="13.5" customHeight="1">
      <c r="A26" s="645"/>
      <c r="B26" s="646"/>
      <c r="C26" s="646"/>
      <c r="D26" s="646"/>
      <c r="E26" s="646"/>
      <c r="F26" s="646"/>
      <c r="G26" s="647"/>
      <c r="L26" s="284"/>
      <c r="M26" s="284"/>
    </row>
    <row r="27" spans="1:13" s="110" customFormat="1" ht="13.5" customHeight="1">
      <c r="A27" s="608" t="s">
        <v>289</v>
      </c>
      <c r="B27" s="609"/>
      <c r="C27" s="609"/>
      <c r="D27" s="609"/>
      <c r="E27" s="609"/>
      <c r="F27" s="609"/>
      <c r="G27" s="610"/>
      <c r="L27" s="111"/>
      <c r="M27" s="111"/>
    </row>
    <row r="28" spans="1:13" s="110" customFormat="1" ht="13.5" customHeight="1">
      <c r="A28" s="645"/>
      <c r="B28" s="646"/>
      <c r="C28" s="646"/>
      <c r="D28" s="646"/>
      <c r="E28" s="646"/>
      <c r="F28" s="646"/>
      <c r="G28" s="647"/>
      <c r="L28" s="111"/>
      <c r="M28" s="111"/>
    </row>
    <row r="29" spans="1:13" s="110" customFormat="1" ht="13.5" customHeight="1">
      <c r="A29" s="645" t="s">
        <v>573</v>
      </c>
      <c r="B29" s="646"/>
      <c r="C29" s="646"/>
      <c r="D29" s="646"/>
      <c r="E29" s="646"/>
      <c r="F29" s="646"/>
      <c r="G29" s="647"/>
      <c r="L29" s="111"/>
      <c r="M29" s="111"/>
    </row>
    <row r="30" spans="1:13" s="110" customFormat="1" ht="13.5" customHeight="1">
      <c r="A30" s="645" t="s">
        <v>403</v>
      </c>
      <c r="B30" s="646"/>
      <c r="C30" s="646"/>
      <c r="D30" s="646"/>
      <c r="E30" s="646"/>
      <c r="F30" s="646"/>
      <c r="G30" s="647"/>
      <c r="L30" s="111"/>
      <c r="M30" s="111"/>
    </row>
    <row r="31" spans="1:13" s="110" customFormat="1" ht="13.5" customHeight="1">
      <c r="A31" s="645" t="s">
        <v>404</v>
      </c>
      <c r="B31" s="646"/>
      <c r="C31" s="646"/>
      <c r="D31" s="646"/>
      <c r="E31" s="646"/>
      <c r="F31" s="646"/>
      <c r="G31" s="647"/>
      <c r="L31" s="111"/>
      <c r="M31" s="111"/>
    </row>
    <row r="32" spans="1:13" s="111" customFormat="1" ht="13.5" customHeight="1">
      <c r="A32" s="645" t="s">
        <v>405</v>
      </c>
      <c r="B32" s="646"/>
      <c r="C32" s="646"/>
      <c r="D32" s="646"/>
      <c r="E32" s="646"/>
      <c r="F32" s="646"/>
      <c r="G32" s="647"/>
      <c r="H32" s="110"/>
      <c r="I32" s="110"/>
      <c r="J32" s="110"/>
      <c r="K32" s="110"/>
    </row>
    <row r="33" spans="1:13" s="110" customFormat="1" ht="13.5" customHeight="1">
      <c r="A33" s="645" t="s">
        <v>406</v>
      </c>
      <c r="B33" s="646"/>
      <c r="C33" s="646"/>
      <c r="D33" s="646"/>
      <c r="E33" s="646"/>
      <c r="F33" s="646"/>
      <c r="G33" s="647"/>
      <c r="L33" s="111"/>
      <c r="M33" s="111"/>
    </row>
    <row r="34" spans="1:13" s="110" customFormat="1" ht="13.5" customHeight="1">
      <c r="A34" s="645" t="s">
        <v>574</v>
      </c>
      <c r="B34" s="646"/>
      <c r="C34" s="646"/>
      <c r="D34" s="646"/>
      <c r="E34" s="646"/>
      <c r="F34" s="646"/>
      <c r="G34" s="647"/>
      <c r="L34" s="111"/>
      <c r="M34" s="111"/>
    </row>
    <row r="35" spans="1:13" s="110" customFormat="1" ht="13.5" customHeight="1">
      <c r="A35" s="645"/>
      <c r="B35" s="646"/>
      <c r="C35" s="646"/>
      <c r="D35" s="646"/>
      <c r="E35" s="646"/>
      <c r="F35" s="646"/>
      <c r="G35" s="647"/>
      <c r="L35" s="111"/>
      <c r="M35" s="111"/>
    </row>
    <row r="36" spans="1:13" s="110" customFormat="1" ht="13.5" customHeight="1">
      <c r="A36" s="645"/>
      <c r="B36" s="646"/>
      <c r="C36" s="646"/>
      <c r="D36" s="646"/>
      <c r="E36" s="646"/>
      <c r="F36" s="646"/>
      <c r="G36" s="647"/>
      <c r="L36" s="111"/>
      <c r="M36" s="111"/>
    </row>
    <row r="37" spans="1:13" s="111" customFormat="1" ht="13.5" customHeight="1">
      <c r="A37" s="645" t="s">
        <v>407</v>
      </c>
      <c r="B37" s="646"/>
      <c r="C37" s="646"/>
      <c r="D37" s="646"/>
      <c r="E37" s="646"/>
      <c r="F37" s="646"/>
      <c r="G37" s="647"/>
      <c r="H37" s="110"/>
      <c r="I37" s="110"/>
      <c r="J37" s="110"/>
      <c r="K37" s="110"/>
    </row>
    <row r="38" spans="1:13" s="110" customFormat="1" ht="13.5" customHeight="1">
      <c r="A38" s="645"/>
      <c r="B38" s="646"/>
      <c r="C38" s="646"/>
      <c r="D38" s="646"/>
      <c r="E38" s="646"/>
      <c r="F38" s="646"/>
      <c r="G38" s="647"/>
      <c r="L38" s="111"/>
      <c r="M38" s="111"/>
    </row>
    <row r="39" spans="1:13" s="110" customFormat="1" ht="13.5" customHeight="1">
      <c r="A39" s="645"/>
      <c r="B39" s="646"/>
      <c r="C39" s="646"/>
      <c r="D39" s="646"/>
      <c r="E39" s="646"/>
      <c r="F39" s="646"/>
      <c r="G39" s="647"/>
      <c r="L39" s="111"/>
      <c r="M39" s="111"/>
    </row>
    <row r="40" spans="1:13" s="110" customFormat="1" ht="13.5" customHeight="1">
      <c r="A40" s="614" t="s">
        <v>408</v>
      </c>
      <c r="B40" s="520"/>
      <c r="C40" s="520"/>
      <c r="D40" s="520"/>
      <c r="E40" s="520"/>
      <c r="F40" s="520"/>
      <c r="G40" s="615"/>
      <c r="L40" s="111"/>
      <c r="M40" s="111"/>
    </row>
    <row r="41" spans="1:13" s="110" customFormat="1" ht="13.5" customHeight="1">
      <c r="A41" s="614"/>
      <c r="B41" s="520"/>
      <c r="C41" s="520"/>
      <c r="D41" s="520"/>
      <c r="E41" s="520"/>
      <c r="F41" s="520"/>
      <c r="G41" s="615"/>
      <c r="L41" s="111"/>
      <c r="M41" s="111"/>
    </row>
    <row r="42" spans="1:13" s="110" customFormat="1" ht="13.5" customHeight="1">
      <c r="A42" s="614" t="s">
        <v>409</v>
      </c>
      <c r="B42" s="520"/>
      <c r="C42" s="520"/>
      <c r="D42" s="520"/>
      <c r="E42" s="520"/>
      <c r="F42" s="520"/>
      <c r="G42" s="615"/>
      <c r="L42" s="111"/>
      <c r="M42" s="111"/>
    </row>
    <row r="43" spans="1:13" s="110" customFormat="1" ht="13.5" customHeight="1">
      <c r="A43" s="614" t="s">
        <v>543</v>
      </c>
      <c r="B43" s="520"/>
      <c r="C43" s="520"/>
      <c r="D43" s="520"/>
      <c r="E43" s="520"/>
      <c r="F43" s="520"/>
      <c r="G43" s="615"/>
      <c r="L43" s="111"/>
      <c r="M43" s="111"/>
    </row>
    <row r="44" spans="1:13" s="283" customFormat="1" ht="13.5" customHeight="1">
      <c r="A44" s="614" t="s">
        <v>544</v>
      </c>
      <c r="B44" s="520"/>
      <c r="C44" s="520"/>
      <c r="D44" s="520"/>
      <c r="E44" s="520"/>
      <c r="F44" s="520"/>
      <c r="G44" s="615"/>
      <c r="L44" s="284"/>
      <c r="M44" s="284"/>
    </row>
    <row r="45" spans="1:13" s="110" customFormat="1" ht="13.5" customHeight="1">
      <c r="A45" s="614"/>
      <c r="B45" s="520"/>
      <c r="C45" s="520"/>
      <c r="D45" s="520"/>
      <c r="E45" s="520"/>
      <c r="F45" s="520"/>
      <c r="G45" s="615"/>
      <c r="L45" s="111"/>
      <c r="M45" s="111"/>
    </row>
    <row r="46" spans="1:13" s="281" customFormat="1" ht="13.5" customHeight="1">
      <c r="A46" s="614" t="s">
        <v>542</v>
      </c>
      <c r="B46" s="520"/>
      <c r="C46" s="520"/>
      <c r="D46" s="520"/>
      <c r="E46" s="520"/>
      <c r="F46" s="520"/>
      <c r="G46" s="615"/>
      <c r="L46" s="282"/>
      <c r="M46" s="282"/>
    </row>
    <row r="47" spans="1:13" s="281" customFormat="1" ht="13.5" customHeight="1">
      <c r="A47" s="614" t="s">
        <v>412</v>
      </c>
      <c r="B47" s="520"/>
      <c r="C47" s="520"/>
      <c r="D47" s="520"/>
      <c r="E47" s="520"/>
      <c r="F47" s="520"/>
      <c r="G47" s="615"/>
      <c r="L47" s="282"/>
      <c r="M47" s="282"/>
    </row>
    <row r="48" spans="1:13" s="281" customFormat="1" ht="13.5" customHeight="1">
      <c r="A48" s="614" t="s">
        <v>547</v>
      </c>
      <c r="B48" s="520"/>
      <c r="C48" s="520"/>
      <c r="D48" s="520"/>
      <c r="E48" s="520"/>
      <c r="F48" s="520"/>
      <c r="G48" s="615"/>
      <c r="L48" s="282"/>
      <c r="M48" s="282"/>
    </row>
    <row r="49" spans="1:13" s="281" customFormat="1" ht="13.5" customHeight="1">
      <c r="A49" s="614" t="s">
        <v>545</v>
      </c>
      <c r="B49" s="520"/>
      <c r="C49" s="520"/>
      <c r="D49" s="520"/>
      <c r="E49" s="520"/>
      <c r="F49" s="520"/>
      <c r="G49" s="615"/>
      <c r="L49" s="282"/>
      <c r="M49" s="282"/>
    </row>
    <row r="50" spans="1:13" s="283" customFormat="1" ht="13.5" customHeight="1">
      <c r="A50" s="645"/>
      <c r="B50" s="646"/>
      <c r="C50" s="646"/>
      <c r="D50" s="646"/>
      <c r="E50" s="646"/>
      <c r="F50" s="646"/>
      <c r="G50" s="647"/>
      <c r="L50" s="284"/>
      <c r="M50" s="284"/>
    </row>
    <row r="51" spans="1:13" s="281" customFormat="1" ht="13.5" customHeight="1">
      <c r="A51" s="645"/>
      <c r="B51" s="646"/>
      <c r="C51" s="646"/>
      <c r="D51" s="646"/>
      <c r="E51" s="646"/>
      <c r="F51" s="646"/>
      <c r="G51" s="647"/>
      <c r="L51" s="282"/>
      <c r="M51" s="282"/>
    </row>
    <row r="52" spans="1:13" s="110" customFormat="1" ht="13.5" customHeight="1">
      <c r="A52" s="645"/>
      <c r="B52" s="646"/>
      <c r="C52" s="646"/>
      <c r="D52" s="646"/>
      <c r="E52" s="646"/>
      <c r="F52" s="646"/>
      <c r="G52" s="647"/>
      <c r="L52" s="111"/>
      <c r="M52" s="111"/>
    </row>
    <row r="53" spans="1:13" s="110" customFormat="1" ht="13.5" customHeight="1">
      <c r="A53" s="645"/>
      <c r="B53" s="646"/>
      <c r="C53" s="646"/>
      <c r="D53" s="646"/>
      <c r="E53" s="646"/>
      <c r="F53" s="646"/>
      <c r="G53" s="647"/>
      <c r="L53" s="111"/>
      <c r="M53" s="111"/>
    </row>
    <row r="54" spans="1:13" s="110" customFormat="1" ht="13.5" customHeight="1">
      <c r="A54" s="645"/>
      <c r="B54" s="646"/>
      <c r="C54" s="646"/>
      <c r="D54" s="646"/>
      <c r="E54" s="646"/>
      <c r="F54" s="646"/>
      <c r="G54" s="647"/>
      <c r="L54" s="111"/>
      <c r="M54" s="111"/>
    </row>
    <row r="55" spans="1:13" s="110" customFormat="1" ht="13.5" customHeight="1">
      <c r="A55" s="645"/>
      <c r="B55" s="646"/>
      <c r="C55" s="646"/>
      <c r="D55" s="646"/>
      <c r="E55" s="646"/>
      <c r="F55" s="646"/>
      <c r="G55" s="647"/>
      <c r="L55" s="111"/>
      <c r="M55" s="111"/>
    </row>
    <row r="56" spans="1:13" s="110" customFormat="1" ht="13.5" customHeight="1">
      <c r="A56" s="645"/>
      <c r="B56" s="646"/>
      <c r="C56" s="646"/>
      <c r="D56" s="646"/>
      <c r="E56" s="646"/>
      <c r="F56" s="646"/>
      <c r="G56" s="647"/>
      <c r="L56" s="111"/>
      <c r="M56" s="111"/>
    </row>
    <row r="57" spans="1:13" s="88" customFormat="1" ht="21">
      <c r="A57" s="36" t="s">
        <v>32</v>
      </c>
      <c r="B57" s="217">
        <f>$B$1</f>
        <v>10</v>
      </c>
      <c r="C57" s="37" t="s">
        <v>39</v>
      </c>
      <c r="D57" s="38" t="str">
        <f>$E$1</f>
        <v>遭遇毎</v>
      </c>
      <c r="E57" s="691" t="str">
        <f>$B$2</f>
        <v>エレメンタル・マイン</v>
      </c>
      <c r="F57" s="692"/>
      <c r="G57" s="693"/>
      <c r="L57" s="133"/>
      <c r="M57" s="133"/>
    </row>
  </sheetData>
  <mergeCells count="60">
    <mergeCell ref="H4:L4"/>
    <mergeCell ref="A49:G49"/>
    <mergeCell ref="A25:G25"/>
    <mergeCell ref="A31:G31"/>
    <mergeCell ref="A28:G28"/>
    <mergeCell ref="A30:G30"/>
    <mergeCell ref="A27:G27"/>
    <mergeCell ref="A29:G29"/>
    <mergeCell ref="A34:G34"/>
    <mergeCell ref="A32:G32"/>
    <mergeCell ref="A33:G33"/>
    <mergeCell ref="A35:G35"/>
    <mergeCell ref="A36:G36"/>
    <mergeCell ref="B6:D6"/>
    <mergeCell ref="B7:D7"/>
    <mergeCell ref="B8:G8"/>
    <mergeCell ref="B1:C1"/>
    <mergeCell ref="F1:G1"/>
    <mergeCell ref="B2:G2"/>
    <mergeCell ref="B4:G4"/>
    <mergeCell ref="B5:G5"/>
    <mergeCell ref="J9:K9"/>
    <mergeCell ref="B12:G12"/>
    <mergeCell ref="J11:K11"/>
    <mergeCell ref="B13:G13"/>
    <mergeCell ref="B14:G14"/>
    <mergeCell ref="B11:G11"/>
    <mergeCell ref="B9:G9"/>
    <mergeCell ref="B10:G10"/>
    <mergeCell ref="B15:G15"/>
    <mergeCell ref="B16:G16"/>
    <mergeCell ref="B17:G17"/>
    <mergeCell ref="A18:G18"/>
    <mergeCell ref="A45:G45"/>
    <mergeCell ref="A22:G22"/>
    <mergeCell ref="A23:G23"/>
    <mergeCell ref="A24:G24"/>
    <mergeCell ref="A37:G37"/>
    <mergeCell ref="A38:G38"/>
    <mergeCell ref="A44:G44"/>
    <mergeCell ref="A19:G19"/>
    <mergeCell ref="A20:G20"/>
    <mergeCell ref="A21:G21"/>
    <mergeCell ref="A39:G39"/>
    <mergeCell ref="A26:G26"/>
    <mergeCell ref="E57:G57"/>
    <mergeCell ref="A52:G52"/>
    <mergeCell ref="A53:G53"/>
    <mergeCell ref="A54:G54"/>
    <mergeCell ref="A55:G55"/>
    <mergeCell ref="A56:G56"/>
    <mergeCell ref="A51:G51"/>
    <mergeCell ref="A40:G40"/>
    <mergeCell ref="A41:G41"/>
    <mergeCell ref="A42:G42"/>
    <mergeCell ref="A43:G43"/>
    <mergeCell ref="A50:G50"/>
    <mergeCell ref="A48:G48"/>
    <mergeCell ref="A46:G46"/>
    <mergeCell ref="A47:G47"/>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基本!$A$16:$A$19</xm:f>
          </x14:formula1>
          <xm:sqref>K8</xm:sqref>
        </x14:dataValidation>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 type="list" allowBlank="1" showInputMessage="1" showErrorMessage="1">
          <x14:formula1>
            <xm:f>基本!$D$27:$D$31</xm:f>
          </x14:formula1>
          <xm:sqref>I7</xm:sqref>
        </x14:dataValidation>
        <x14:dataValidation type="list" allowBlank="1" showInputMessage="1" showErrorMessage="1">
          <x14:formula1>
            <xm:f>基本!$C$27:$C$37</xm:f>
          </x14:formula1>
          <xm:sqref>I15</xm:sqref>
        </x14:dataValidation>
        <x14:dataValidation type="list" allowBlank="1" showInputMessage="1" showErrorMessage="1">
          <x14:formula1>
            <xm:f>基本!$A$5:$A$10</xm:f>
          </x14:formula1>
          <xm:sqref>I10 I8 K15</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M58"/>
  <sheetViews>
    <sheetView topLeftCell="A34" zoomScaleNormal="100" workbookViewId="0">
      <selection activeCell="A50" sqref="A50:G50"/>
    </sheetView>
  </sheetViews>
  <sheetFormatPr defaultRowHeight="13.5"/>
  <cols>
    <col min="1" max="1" width="7.875" style="287" customWidth="1"/>
    <col min="2" max="2" width="8.5" style="287" customWidth="1"/>
    <col min="3" max="3" width="6.625" style="287" customWidth="1"/>
    <col min="4" max="4" width="15.75" style="287" customWidth="1"/>
    <col min="5" max="6" width="15.75" style="288" customWidth="1"/>
    <col min="7" max="7" width="18.25" style="288" customWidth="1"/>
    <col min="8" max="8" width="17.375" style="288" customWidth="1"/>
    <col min="9" max="9" width="14.625" style="288" customWidth="1"/>
    <col min="10" max="10" width="8.375" style="288" customWidth="1"/>
    <col min="11" max="11" width="7.5" style="288" customWidth="1"/>
    <col min="12" max="13" width="7.875" style="287" customWidth="1"/>
    <col min="14" max="14" width="9.25" style="287" customWidth="1"/>
    <col min="15" max="15" width="12.375" style="287" customWidth="1"/>
    <col min="16" max="16384" width="9" style="287"/>
  </cols>
  <sheetData>
    <row r="1" spans="1:13" ht="21">
      <c r="A1" s="116" t="s">
        <v>32</v>
      </c>
      <c r="B1" s="734">
        <v>12</v>
      </c>
      <c r="C1" s="735"/>
      <c r="D1" s="117" t="s">
        <v>39</v>
      </c>
      <c r="E1" s="118" t="s">
        <v>124</v>
      </c>
      <c r="F1" s="736"/>
      <c r="G1" s="737"/>
      <c r="H1" s="244" t="s">
        <v>54</v>
      </c>
    </row>
    <row r="2" spans="1:13" ht="24.75" customHeight="1">
      <c r="A2" s="117" t="s">
        <v>0</v>
      </c>
      <c r="B2" s="738" t="s">
        <v>462</v>
      </c>
      <c r="C2" s="738"/>
      <c r="D2" s="738"/>
      <c r="E2" s="738"/>
      <c r="F2" s="738"/>
      <c r="G2" s="738"/>
      <c r="H2" s="244" t="s">
        <v>55</v>
      </c>
    </row>
    <row r="3" spans="1:13" ht="19.5" customHeight="1">
      <c r="A3" s="246" t="s">
        <v>47</v>
      </c>
      <c r="B3" s="288"/>
      <c r="C3" s="288"/>
      <c r="D3" s="288"/>
      <c r="I3" s="244"/>
    </row>
    <row r="4" spans="1:13">
      <c r="A4" s="260" t="s">
        <v>45</v>
      </c>
      <c r="B4" s="628" t="s">
        <v>451</v>
      </c>
      <c r="C4" s="629"/>
      <c r="D4" s="629"/>
      <c r="E4" s="629"/>
      <c r="F4" s="629"/>
      <c r="G4" s="630"/>
      <c r="H4" s="539" t="s">
        <v>339</v>
      </c>
      <c r="I4" s="540"/>
      <c r="J4" s="540"/>
      <c r="K4" s="540"/>
      <c r="L4" s="541"/>
    </row>
    <row r="5" spans="1:13">
      <c r="A5" s="261" t="s">
        <v>38</v>
      </c>
      <c r="B5" s="628" t="s">
        <v>452</v>
      </c>
      <c r="C5" s="629"/>
      <c r="D5" s="629"/>
      <c r="E5" s="629"/>
      <c r="F5" s="629"/>
      <c r="G5" s="630"/>
      <c r="H5" s="291" t="s">
        <v>42</v>
      </c>
      <c r="I5" s="290" t="s">
        <v>68</v>
      </c>
      <c r="J5" s="290" t="s">
        <v>72</v>
      </c>
    </row>
    <row r="6" spans="1:13">
      <c r="A6" s="261" t="s">
        <v>7</v>
      </c>
      <c r="B6" s="681" t="s">
        <v>5</v>
      </c>
      <c r="C6" s="682"/>
      <c r="D6" s="683"/>
      <c r="E6" s="291" t="s">
        <v>42</v>
      </c>
      <c r="F6" s="289" t="str">
        <f>IF($I$5 = 0,"", $I$5)</f>
        <v>近接</v>
      </c>
      <c r="G6" s="272" t="str">
        <f>IF($J$5 = 0,"", $J$5)</f>
        <v>接触</v>
      </c>
      <c r="H6" s="291" t="s">
        <v>65</v>
      </c>
      <c r="I6" s="290"/>
      <c r="J6" s="290"/>
    </row>
    <row r="7" spans="1:13">
      <c r="A7" s="262" t="s">
        <v>6</v>
      </c>
      <c r="B7" s="628" t="s">
        <v>453</v>
      </c>
      <c r="C7" s="629"/>
      <c r="D7" s="630"/>
      <c r="E7" s="291" t="s">
        <v>65</v>
      </c>
      <c r="F7" s="45" t="str">
        <f>IF($I$6 = 0,"", $I$6)</f>
        <v/>
      </c>
      <c r="G7" s="45" t="str">
        <f>IF($J$6 = 0,"", $J$6)</f>
        <v/>
      </c>
      <c r="H7" s="291" t="s">
        <v>84</v>
      </c>
      <c r="I7" s="290" t="s">
        <v>112</v>
      </c>
      <c r="J7" s="244" t="s">
        <v>61</v>
      </c>
      <c r="L7" s="230" t="s">
        <v>343</v>
      </c>
      <c r="M7" s="284"/>
    </row>
    <row r="8" spans="1:13" ht="13.5" customHeight="1">
      <c r="A8" s="274" t="s">
        <v>60</v>
      </c>
      <c r="B8" s="642" t="s">
        <v>830</v>
      </c>
      <c r="C8" s="643"/>
      <c r="D8" s="643"/>
      <c r="E8" s="643"/>
      <c r="F8" s="643"/>
      <c r="G8" s="644"/>
      <c r="H8" s="291" t="s">
        <v>50</v>
      </c>
      <c r="I8" s="290" t="s">
        <v>139</v>
      </c>
      <c r="J8" s="289">
        <f>IF($I$8 = "筋力",基本!$C$5,IF($I$8 = "耐久力",基本!$C$6,IF($I$8 = "敏捷力",基本!$C$7,IF($I$8 = "知力",基本!$C$8,IF($I$8 = "判断力",基本!$C$9,IF($I$8 = "判断力",基本!$C$10,""))))))</f>
        <v>7</v>
      </c>
      <c r="K8" s="290" t="s">
        <v>89</v>
      </c>
      <c r="L8" s="229">
        <f>$J$8+$L$9+$I$9</f>
        <v>8</v>
      </c>
      <c r="M8" s="284"/>
    </row>
    <row r="9" spans="1:13" ht="13.5" customHeight="1">
      <c r="A9" s="274"/>
      <c r="B9" s="797" t="s">
        <v>454</v>
      </c>
      <c r="C9" s="520"/>
      <c r="D9" s="520"/>
      <c r="E9" s="520"/>
      <c r="F9" s="520"/>
      <c r="G9" s="615"/>
      <c r="H9" s="291" t="s">
        <v>57</v>
      </c>
      <c r="I9" s="290">
        <v>1</v>
      </c>
      <c r="J9" s="539" t="s">
        <v>52</v>
      </c>
      <c r="K9" s="541"/>
      <c r="L9" s="289">
        <f>IF($I$7=基本!$F$4,基本!$P$7,IF($I$7=基本!$F$13,基本!$P$16,IF($I$7=基本!$F$22,基本!$P$25,IF($I$7=基本!$F$31,基本!$P$34,IF($I$7=基本!$F$40,基本!$P$43,0)))))</f>
        <v>0</v>
      </c>
      <c r="M9" s="284"/>
    </row>
    <row r="10" spans="1:13" ht="13.5" customHeight="1">
      <c r="A10" s="274"/>
      <c r="B10" s="645"/>
      <c r="C10" s="646"/>
      <c r="D10" s="646"/>
      <c r="E10" s="646"/>
      <c r="F10" s="646"/>
      <c r="G10" s="647"/>
      <c r="H10" s="292" t="s">
        <v>51</v>
      </c>
      <c r="I10" s="290" t="s">
        <v>139</v>
      </c>
      <c r="J10" s="249">
        <f>IF($I$8 = "筋力",基本!$C$5,IF($I$10 = "耐久力",基本!$C$6,IF($I$10 = "敏捷力",基本!$C$7,IF($I$10 = "知力",基本!$C$8,IF($I$10 = "判断力",基本!$C$9,IF($I$10 = "判断力",基本!$C$10,""))))))</f>
        <v>7</v>
      </c>
      <c r="L10" s="288"/>
      <c r="M10" s="284"/>
    </row>
    <row r="11" spans="1:13" ht="13.5" customHeight="1">
      <c r="A11" s="274"/>
      <c r="B11" s="645"/>
      <c r="C11" s="646"/>
      <c r="D11" s="646"/>
      <c r="E11" s="646"/>
      <c r="F11" s="646"/>
      <c r="G11" s="647"/>
      <c r="H11" s="291" t="s">
        <v>58</v>
      </c>
      <c r="I11" s="290">
        <v>0</v>
      </c>
      <c r="J11" s="539" t="s">
        <v>53</v>
      </c>
      <c r="K11" s="541"/>
      <c r="L11" s="289">
        <f>IF($I$7=基本!$F$4,基本!$P$9,IF($I$7=基本!$F$13,基本!$P$18,IF($I$7=基本!$F$22,基本!$P$27,IF($I$7=基本!$F$31,基本!$P$36,IF($I$7=基本!$F$40,基本!$P$45,0)))))</f>
        <v>0</v>
      </c>
      <c r="M11" s="284"/>
    </row>
    <row r="12" spans="1:13" ht="18.75">
      <c r="A12" s="274"/>
      <c r="B12" s="801"/>
      <c r="C12" s="802"/>
      <c r="D12" s="802"/>
      <c r="E12" s="802"/>
      <c r="F12" s="802"/>
      <c r="G12" s="803"/>
      <c r="H12" s="283"/>
      <c r="I12" s="283"/>
      <c r="L12" s="230" t="s">
        <v>343</v>
      </c>
      <c r="M12" s="284"/>
    </row>
    <row r="13" spans="1:13" ht="13.5" customHeight="1">
      <c r="A13" s="274"/>
      <c r="B13" s="794"/>
      <c r="C13" s="795"/>
      <c r="D13" s="795"/>
      <c r="E13" s="795"/>
      <c r="F13" s="795"/>
      <c r="G13" s="796"/>
      <c r="H13" s="291" t="s">
        <v>85</v>
      </c>
      <c r="I13" s="290">
        <v>2</v>
      </c>
      <c r="J13" s="291" t="s">
        <v>43</v>
      </c>
      <c r="K13" s="290">
        <v>10</v>
      </c>
      <c r="L13" s="229">
        <f>$J$10+$L$11+$I$11</f>
        <v>7</v>
      </c>
      <c r="M13" s="284"/>
    </row>
    <row r="14" spans="1:13" ht="13.5" customHeight="1">
      <c r="A14" s="274"/>
      <c r="B14" s="614"/>
      <c r="C14" s="520"/>
      <c r="D14" s="520"/>
      <c r="E14" s="520"/>
      <c r="F14" s="520"/>
      <c r="G14" s="615"/>
      <c r="H14" s="291" t="s">
        <v>49</v>
      </c>
      <c r="I14" s="245">
        <f>IF($I$7=基本!$F$4,基本!$L$11,IF($I$7=基本!$F$13,基本!$L$20,IF($I$7=基本!$F$22,基本!$L$29,IF($I$7=基本!$F$31,基本!$L$38,IF($I$7=基本!$F$40,基本!$L$47,0)))))</f>
        <v>5</v>
      </c>
      <c r="J14" s="291" t="s">
        <v>43</v>
      </c>
      <c r="K14" s="245">
        <f>IF($I$7=基本!$F$4,基本!$N$11,IF($I$7=基本!$F$13,基本!$N$20,IF($I$7=基本!$F$22,基本!$N$29,IF($I$7=基本!$F$31,基本!$N$38,IF($I$7=基本!$F$40,基本!$N$47,0)))))</f>
        <v>12</v>
      </c>
      <c r="L14" s="229">
        <f>$J$10+$L$11+$I$11+($I$13*$K$13)</f>
        <v>27</v>
      </c>
      <c r="M14" s="284"/>
    </row>
    <row r="15" spans="1:13" ht="13.5" customHeight="1">
      <c r="A15" s="274"/>
      <c r="B15" s="794"/>
      <c r="C15" s="795"/>
      <c r="D15" s="795"/>
      <c r="E15" s="795"/>
      <c r="F15" s="795"/>
      <c r="G15" s="796"/>
      <c r="H15" s="291" t="s">
        <v>59</v>
      </c>
      <c r="I15" s="290"/>
      <c r="J15" s="291" t="s">
        <v>342</v>
      </c>
      <c r="K15" s="290" t="s">
        <v>15</v>
      </c>
      <c r="L15" s="289">
        <f>IF(K15="",0,VLOOKUP(K15,基本!$A$5:'基本'!$C$10,3,FALSE))</f>
        <v>3</v>
      </c>
      <c r="M15" s="284"/>
    </row>
    <row r="16" spans="1:13" ht="13.5" customHeight="1">
      <c r="A16" s="274"/>
      <c r="B16" s="614"/>
      <c r="C16" s="520"/>
      <c r="D16" s="520"/>
      <c r="E16" s="520"/>
      <c r="F16" s="520"/>
      <c r="G16" s="615"/>
    </row>
    <row r="17" spans="1:13" ht="13.5" customHeight="1">
      <c r="A17" s="274"/>
      <c r="B17" s="614"/>
      <c r="C17" s="520"/>
      <c r="D17" s="520"/>
      <c r="E17" s="520"/>
      <c r="F17" s="520"/>
      <c r="G17" s="615"/>
      <c r="J17" s="287"/>
      <c r="K17" s="287"/>
    </row>
    <row r="18" spans="1:13" ht="13.5" customHeight="1">
      <c r="A18" s="264"/>
      <c r="B18" s="716"/>
      <c r="C18" s="717"/>
      <c r="D18" s="717"/>
      <c r="E18" s="717"/>
      <c r="F18" s="717"/>
      <c r="G18" s="718"/>
      <c r="J18" s="287"/>
      <c r="K18" s="287"/>
    </row>
    <row r="19" spans="1:13" ht="6.75" customHeight="1">
      <c r="A19" s="517"/>
      <c r="B19" s="517"/>
      <c r="C19" s="517"/>
      <c r="D19" s="517"/>
      <c r="E19" s="517"/>
      <c r="F19" s="517"/>
      <c r="G19" s="517"/>
      <c r="I19" s="287"/>
      <c r="J19" s="287"/>
      <c r="K19" s="287"/>
    </row>
    <row r="20" spans="1:13" ht="14.25">
      <c r="A20" s="517" t="s">
        <v>973</v>
      </c>
      <c r="B20" s="517"/>
      <c r="C20" s="517"/>
      <c r="D20" s="517"/>
      <c r="E20" s="517"/>
      <c r="F20" s="517"/>
      <c r="G20" s="517"/>
      <c r="I20" s="287"/>
      <c r="J20" s="287"/>
      <c r="K20" s="287"/>
    </row>
    <row r="21" spans="1:13" ht="13.5" customHeight="1">
      <c r="A21" s="529" t="s">
        <v>440</v>
      </c>
      <c r="B21" s="529"/>
      <c r="C21" s="529"/>
      <c r="D21" s="529"/>
      <c r="E21" s="529"/>
      <c r="F21" s="529"/>
      <c r="G21" s="529"/>
    </row>
    <row r="22" spans="1:13" ht="13.5" customHeight="1">
      <c r="A22" s="525" t="s">
        <v>441</v>
      </c>
      <c r="B22" s="525"/>
      <c r="C22" s="525"/>
      <c r="D22" s="525"/>
      <c r="E22" s="525"/>
      <c r="F22" s="525"/>
      <c r="G22" s="525"/>
    </row>
    <row r="23" spans="1:13" ht="13.5" customHeight="1">
      <c r="A23" s="525" t="s">
        <v>442</v>
      </c>
      <c r="B23" s="525"/>
      <c r="C23" s="525"/>
      <c r="D23" s="525"/>
      <c r="E23" s="525"/>
      <c r="F23" s="525"/>
      <c r="G23" s="525"/>
    </row>
    <row r="24" spans="1:13" ht="7.5" customHeight="1">
      <c r="A24" s="717"/>
      <c r="B24" s="717"/>
      <c r="C24" s="717"/>
      <c r="D24" s="717"/>
      <c r="E24" s="717"/>
      <c r="F24" s="717"/>
      <c r="G24" s="717"/>
    </row>
    <row r="25" spans="1:13" ht="13.5" customHeight="1">
      <c r="A25" s="619" t="s">
        <v>48</v>
      </c>
      <c r="B25" s="620"/>
      <c r="C25" s="620"/>
      <c r="D25" s="620"/>
      <c r="E25" s="620"/>
      <c r="F25" s="620"/>
      <c r="G25" s="621"/>
    </row>
    <row r="26" spans="1:13" s="283" customFormat="1" ht="13.5" customHeight="1">
      <c r="A26" s="719"/>
      <c r="B26" s="720"/>
      <c r="C26" s="720"/>
      <c r="D26" s="720"/>
      <c r="E26" s="720"/>
      <c r="F26" s="720"/>
      <c r="G26" s="721"/>
      <c r="L26" s="284"/>
      <c r="M26" s="284"/>
    </row>
    <row r="27" spans="1:13" s="283" customFormat="1" ht="13.5" customHeight="1">
      <c r="A27" s="645" t="s">
        <v>831</v>
      </c>
      <c r="B27" s="646"/>
      <c r="C27" s="646"/>
      <c r="D27" s="646"/>
      <c r="E27" s="646"/>
      <c r="F27" s="646"/>
      <c r="G27" s="647"/>
      <c r="L27" s="284"/>
      <c r="M27" s="284"/>
    </row>
    <row r="28" spans="1:13" s="283" customFormat="1" ht="13.5" customHeight="1">
      <c r="A28" s="645" t="s">
        <v>832</v>
      </c>
      <c r="B28" s="646"/>
      <c r="C28" s="646"/>
      <c r="D28" s="646"/>
      <c r="E28" s="646"/>
      <c r="F28" s="646"/>
      <c r="G28" s="647"/>
      <c r="L28" s="284"/>
      <c r="M28" s="284"/>
    </row>
    <row r="29" spans="1:13" s="283" customFormat="1" ht="13.5" customHeight="1">
      <c r="A29" s="645" t="s">
        <v>842</v>
      </c>
      <c r="B29" s="646"/>
      <c r="C29" s="646"/>
      <c r="D29" s="646"/>
      <c r="E29" s="646"/>
      <c r="F29" s="646"/>
      <c r="G29" s="647"/>
      <c r="L29" s="284"/>
      <c r="M29" s="284"/>
    </row>
    <row r="30" spans="1:13" s="283" customFormat="1" ht="13.5" customHeight="1">
      <c r="A30" s="645" t="s">
        <v>836</v>
      </c>
      <c r="B30" s="646"/>
      <c r="C30" s="646"/>
      <c r="D30" s="646"/>
      <c r="E30" s="646"/>
      <c r="F30" s="646"/>
      <c r="G30" s="647"/>
      <c r="L30" s="284"/>
      <c r="M30" s="284"/>
    </row>
    <row r="31" spans="1:13" s="283" customFormat="1" ht="13.5" customHeight="1">
      <c r="A31" s="645" t="s">
        <v>837</v>
      </c>
      <c r="B31" s="646"/>
      <c r="C31" s="646"/>
      <c r="D31" s="646"/>
      <c r="E31" s="646"/>
      <c r="F31" s="646"/>
      <c r="G31" s="647"/>
      <c r="L31" s="284"/>
      <c r="M31" s="284"/>
    </row>
    <row r="32" spans="1:13" s="283" customFormat="1" ht="13.5" customHeight="1">
      <c r="A32" s="645" t="s">
        <v>833</v>
      </c>
      <c r="B32" s="646"/>
      <c r="C32" s="646"/>
      <c r="D32" s="646"/>
      <c r="E32" s="646"/>
      <c r="F32" s="646"/>
      <c r="G32" s="647"/>
      <c r="L32" s="284"/>
      <c r="M32" s="284"/>
    </row>
    <row r="33" spans="1:13" s="284" customFormat="1" ht="13.5" customHeight="1">
      <c r="A33" s="645"/>
      <c r="B33" s="646"/>
      <c r="C33" s="646"/>
      <c r="D33" s="646"/>
      <c r="E33" s="646"/>
      <c r="F33" s="646"/>
      <c r="G33" s="647"/>
      <c r="H33" s="283"/>
      <c r="I33" s="283"/>
      <c r="J33" s="283"/>
      <c r="K33" s="283"/>
    </row>
    <row r="34" spans="1:13" s="283" customFormat="1" ht="13.5" customHeight="1">
      <c r="A34" s="645" t="s">
        <v>834</v>
      </c>
      <c r="B34" s="646"/>
      <c r="C34" s="646"/>
      <c r="D34" s="646"/>
      <c r="E34" s="646"/>
      <c r="F34" s="646"/>
      <c r="G34" s="647"/>
      <c r="L34" s="284"/>
      <c r="M34" s="284"/>
    </row>
    <row r="35" spans="1:13" s="283" customFormat="1" ht="13.5" customHeight="1">
      <c r="A35" s="645" t="s">
        <v>838</v>
      </c>
      <c r="B35" s="646"/>
      <c r="C35" s="646"/>
      <c r="D35" s="646"/>
      <c r="E35" s="646"/>
      <c r="F35" s="646"/>
      <c r="G35" s="647"/>
      <c r="L35" s="284"/>
      <c r="M35" s="284"/>
    </row>
    <row r="36" spans="1:13" s="283" customFormat="1" ht="13.5" customHeight="1">
      <c r="A36" s="645" t="s">
        <v>840</v>
      </c>
      <c r="B36" s="646"/>
      <c r="C36" s="646"/>
      <c r="D36" s="646"/>
      <c r="E36" s="646"/>
      <c r="F36" s="646"/>
      <c r="G36" s="647"/>
      <c r="L36" s="284"/>
      <c r="M36" s="284"/>
    </row>
    <row r="37" spans="1:13" s="283" customFormat="1" ht="13.5" customHeight="1">
      <c r="A37" s="645" t="s">
        <v>835</v>
      </c>
      <c r="B37" s="646"/>
      <c r="C37" s="646"/>
      <c r="D37" s="646"/>
      <c r="E37" s="646"/>
      <c r="F37" s="646"/>
      <c r="G37" s="647"/>
      <c r="L37" s="284"/>
      <c r="M37" s="284"/>
    </row>
    <row r="38" spans="1:13" s="283" customFormat="1" ht="13.5" customHeight="1">
      <c r="A38" s="645" t="s">
        <v>839</v>
      </c>
      <c r="B38" s="646"/>
      <c r="C38" s="646"/>
      <c r="D38" s="646"/>
      <c r="E38" s="646"/>
      <c r="F38" s="646"/>
      <c r="G38" s="647"/>
      <c r="L38" s="284"/>
      <c r="M38" s="284"/>
    </row>
    <row r="39" spans="1:13" s="283" customFormat="1" ht="13.5" customHeight="1">
      <c r="A39" s="645"/>
      <c r="B39" s="646"/>
      <c r="C39" s="646"/>
      <c r="D39" s="646"/>
      <c r="E39" s="646"/>
      <c r="F39" s="646"/>
      <c r="G39" s="647"/>
      <c r="L39" s="284"/>
      <c r="M39" s="284"/>
    </row>
    <row r="40" spans="1:13" s="283" customFormat="1" ht="13.5" customHeight="1">
      <c r="A40" s="645" t="s">
        <v>843</v>
      </c>
      <c r="B40" s="646"/>
      <c r="C40" s="646"/>
      <c r="D40" s="646"/>
      <c r="E40" s="646"/>
      <c r="F40" s="646"/>
      <c r="G40" s="647"/>
      <c r="L40" s="284"/>
      <c r="M40" s="284"/>
    </row>
    <row r="41" spans="1:13" s="283" customFormat="1" ht="13.5" customHeight="1">
      <c r="A41" s="645" t="s">
        <v>844</v>
      </c>
      <c r="B41" s="646"/>
      <c r="C41" s="646"/>
      <c r="D41" s="646"/>
      <c r="E41" s="646"/>
      <c r="F41" s="646"/>
      <c r="G41" s="647"/>
      <c r="L41" s="284"/>
      <c r="M41" s="284"/>
    </row>
    <row r="42" spans="1:13" s="283" customFormat="1" ht="13.5" customHeight="1">
      <c r="A42" s="645" t="s">
        <v>847</v>
      </c>
      <c r="B42" s="646"/>
      <c r="C42" s="646"/>
      <c r="D42" s="646"/>
      <c r="E42" s="646"/>
      <c r="F42" s="646"/>
      <c r="G42" s="647"/>
      <c r="L42" s="284"/>
      <c r="M42" s="284"/>
    </row>
    <row r="43" spans="1:13" s="283" customFormat="1" ht="13.5" customHeight="1">
      <c r="A43" s="645" t="s">
        <v>848</v>
      </c>
      <c r="B43" s="646"/>
      <c r="C43" s="646"/>
      <c r="D43" s="646"/>
      <c r="E43" s="646"/>
      <c r="F43" s="646"/>
      <c r="G43" s="647"/>
      <c r="L43" s="284"/>
      <c r="M43" s="284"/>
    </row>
    <row r="44" spans="1:13" s="283" customFormat="1" ht="13.5" customHeight="1">
      <c r="A44" s="645" t="s">
        <v>841</v>
      </c>
      <c r="B44" s="646"/>
      <c r="C44" s="646"/>
      <c r="D44" s="646"/>
      <c r="E44" s="646"/>
      <c r="F44" s="646"/>
      <c r="G44" s="647"/>
      <c r="L44" s="284"/>
      <c r="M44" s="284"/>
    </row>
    <row r="45" spans="1:13" s="283" customFormat="1" ht="13.5" customHeight="1">
      <c r="A45" s="645" t="s">
        <v>845</v>
      </c>
      <c r="B45" s="646"/>
      <c r="C45" s="646"/>
      <c r="D45" s="646"/>
      <c r="E45" s="646"/>
      <c r="F45" s="646"/>
      <c r="G45" s="647"/>
      <c r="L45" s="284"/>
      <c r="M45" s="284"/>
    </row>
    <row r="46" spans="1:13" s="283" customFormat="1" ht="13.5" customHeight="1">
      <c r="A46" s="645" t="s">
        <v>846</v>
      </c>
      <c r="B46" s="646"/>
      <c r="C46" s="646"/>
      <c r="D46" s="646"/>
      <c r="E46" s="646"/>
      <c r="F46" s="646"/>
      <c r="G46" s="647"/>
      <c r="L46" s="284"/>
      <c r="M46" s="284"/>
    </row>
    <row r="47" spans="1:13" s="283" customFormat="1" ht="13.5" customHeight="1">
      <c r="A47" s="645"/>
      <c r="B47" s="646"/>
      <c r="C47" s="646"/>
      <c r="D47" s="646"/>
      <c r="E47" s="646"/>
      <c r="F47" s="646"/>
      <c r="G47" s="647"/>
      <c r="L47" s="284"/>
      <c r="M47" s="284"/>
    </row>
    <row r="48" spans="1:13" s="283" customFormat="1" ht="13.5" customHeight="1">
      <c r="A48" s="645" t="s">
        <v>942</v>
      </c>
      <c r="B48" s="646"/>
      <c r="C48" s="646"/>
      <c r="D48" s="646"/>
      <c r="E48" s="646"/>
      <c r="F48" s="646"/>
      <c r="G48" s="647"/>
      <c r="L48" s="284"/>
      <c r="M48" s="284"/>
    </row>
    <row r="49" spans="1:13" s="283" customFormat="1" ht="13.5" customHeight="1">
      <c r="A49" s="645" t="s">
        <v>943</v>
      </c>
      <c r="B49" s="646"/>
      <c r="C49" s="646"/>
      <c r="D49" s="646"/>
      <c r="E49" s="646"/>
      <c r="F49" s="646"/>
      <c r="G49" s="647"/>
      <c r="L49" s="284"/>
      <c r="M49" s="284"/>
    </row>
    <row r="50" spans="1:13" s="283" customFormat="1" ht="13.5" customHeight="1">
      <c r="A50" s="645" t="s">
        <v>974</v>
      </c>
      <c r="B50" s="646"/>
      <c r="C50" s="646"/>
      <c r="D50" s="646"/>
      <c r="E50" s="646"/>
      <c r="F50" s="646"/>
      <c r="G50" s="647"/>
      <c r="L50" s="284"/>
      <c r="M50" s="284"/>
    </row>
    <row r="51" spans="1:13" s="283" customFormat="1" ht="13.5" customHeight="1">
      <c r="A51" s="645" t="s">
        <v>944</v>
      </c>
      <c r="B51" s="646"/>
      <c r="C51" s="646"/>
      <c r="D51" s="646"/>
      <c r="E51" s="646"/>
      <c r="F51" s="646"/>
      <c r="G51" s="647"/>
      <c r="L51" s="284"/>
      <c r="M51" s="284"/>
    </row>
    <row r="52" spans="1:13" s="283" customFormat="1" ht="13.5" customHeight="1">
      <c r="A52" s="645"/>
      <c r="B52" s="646"/>
      <c r="C52" s="646"/>
      <c r="D52" s="646"/>
      <c r="E52" s="646"/>
      <c r="F52" s="646"/>
      <c r="G52" s="647"/>
      <c r="L52" s="284"/>
      <c r="M52" s="284"/>
    </row>
    <row r="53" spans="1:13" s="283" customFormat="1" ht="13.5" customHeight="1">
      <c r="A53" s="645"/>
      <c r="B53" s="646"/>
      <c r="C53" s="646"/>
      <c r="D53" s="646"/>
      <c r="E53" s="646"/>
      <c r="F53" s="646"/>
      <c r="G53" s="647"/>
      <c r="L53" s="284"/>
      <c r="M53" s="284"/>
    </row>
    <row r="54" spans="1:13" s="283" customFormat="1" ht="13.5" customHeight="1">
      <c r="A54" s="645"/>
      <c r="B54" s="646"/>
      <c r="C54" s="646"/>
      <c r="D54" s="646"/>
      <c r="E54" s="646"/>
      <c r="F54" s="646"/>
      <c r="G54" s="647"/>
      <c r="L54" s="284"/>
      <c r="M54" s="284"/>
    </row>
    <row r="55" spans="1:13" s="283" customFormat="1" ht="13.5" customHeight="1">
      <c r="A55" s="645"/>
      <c r="B55" s="646"/>
      <c r="C55" s="646"/>
      <c r="D55" s="646"/>
      <c r="E55" s="646"/>
      <c r="F55" s="646"/>
      <c r="G55" s="647"/>
      <c r="L55" s="284"/>
      <c r="M55" s="284"/>
    </row>
    <row r="56" spans="1:13" s="283" customFormat="1" ht="13.5" customHeight="1">
      <c r="A56" s="645"/>
      <c r="B56" s="646"/>
      <c r="C56" s="646"/>
      <c r="D56" s="646"/>
      <c r="E56" s="646"/>
      <c r="F56" s="646"/>
      <c r="G56" s="647"/>
      <c r="L56" s="284"/>
      <c r="M56" s="284"/>
    </row>
    <row r="57" spans="1:13" s="284" customFormat="1" ht="13.5" customHeight="1">
      <c r="A57" s="645"/>
      <c r="B57" s="646"/>
      <c r="C57" s="646"/>
      <c r="D57" s="646"/>
      <c r="E57" s="646"/>
      <c r="F57" s="646"/>
      <c r="G57" s="647"/>
      <c r="H57" s="283"/>
      <c r="I57" s="283"/>
      <c r="J57" s="283"/>
      <c r="K57" s="283"/>
    </row>
    <row r="58" spans="1:13" s="288" customFormat="1" ht="21">
      <c r="A58" s="119" t="s">
        <v>32</v>
      </c>
      <c r="B58" s="294">
        <f>$B$1</f>
        <v>12</v>
      </c>
      <c r="C58" s="121" t="s">
        <v>39</v>
      </c>
      <c r="D58" s="122" t="str">
        <f>$E$1</f>
        <v>一日毎</v>
      </c>
      <c r="E58" s="725" t="str">
        <f>$B$2</f>
        <v>レストレイティヴ・ワード</v>
      </c>
      <c r="F58" s="726"/>
      <c r="G58" s="727"/>
      <c r="L58" s="287"/>
      <c r="M58" s="287"/>
    </row>
  </sheetData>
  <mergeCells count="61">
    <mergeCell ref="A49:G49"/>
    <mergeCell ref="A50:G50"/>
    <mergeCell ref="A30:G30"/>
    <mergeCell ref="A57:G57"/>
    <mergeCell ref="E58:G58"/>
    <mergeCell ref="A53:G53"/>
    <mergeCell ref="A54:G54"/>
    <mergeCell ref="A55:G55"/>
    <mergeCell ref="A56:G56"/>
    <mergeCell ref="A52:G52"/>
    <mergeCell ref="A43:G43"/>
    <mergeCell ref="A44:G44"/>
    <mergeCell ref="A45:G45"/>
    <mergeCell ref="A46:G46"/>
    <mergeCell ref="A42:G42"/>
    <mergeCell ref="A47:G47"/>
    <mergeCell ref="A48:G48"/>
    <mergeCell ref="B15:G15"/>
    <mergeCell ref="A51:G51"/>
    <mergeCell ref="A25:G25"/>
    <mergeCell ref="A26:G26"/>
    <mergeCell ref="A27:G27"/>
    <mergeCell ref="A31:G31"/>
    <mergeCell ref="A34:G34"/>
    <mergeCell ref="A33:G33"/>
    <mergeCell ref="A35:G35"/>
    <mergeCell ref="A36:G36"/>
    <mergeCell ref="A37:G37"/>
    <mergeCell ref="A38:G38"/>
    <mergeCell ref="A39:G39"/>
    <mergeCell ref="A40:G40"/>
    <mergeCell ref="A41:G41"/>
    <mergeCell ref="A28:G28"/>
    <mergeCell ref="A32:G32"/>
    <mergeCell ref="B16:G16"/>
    <mergeCell ref="B17:G17"/>
    <mergeCell ref="B18:G18"/>
    <mergeCell ref="A19:G19"/>
    <mergeCell ref="A24:G24"/>
    <mergeCell ref="A20:G20"/>
    <mergeCell ref="A21:G21"/>
    <mergeCell ref="A22:G22"/>
    <mergeCell ref="A23:G23"/>
    <mergeCell ref="A29:G29"/>
    <mergeCell ref="B11:G11"/>
    <mergeCell ref="J11:K11"/>
    <mergeCell ref="B12:G12"/>
    <mergeCell ref="B13:G13"/>
    <mergeCell ref="B14:G14"/>
    <mergeCell ref="J9:K9"/>
    <mergeCell ref="B10:G10"/>
    <mergeCell ref="B1:C1"/>
    <mergeCell ref="F1:G1"/>
    <mergeCell ref="B2:G2"/>
    <mergeCell ref="B4:G4"/>
    <mergeCell ref="H4:L4"/>
    <mergeCell ref="B5:G5"/>
    <mergeCell ref="B6:D6"/>
    <mergeCell ref="B7:D7"/>
    <mergeCell ref="B8:G8"/>
    <mergeCell ref="B9:G9"/>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基本!$A$5:$A$10</xm:f>
          </x14:formula1>
          <xm:sqref>I10 I8 K15</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I7</xm:sqref>
        </x14:dataValidation>
        <x14:dataValidation type="list" allowBlank="1" showInputMessage="1" showErrorMessage="1">
          <x14:formula1>
            <xm:f>基本!$B$27:$B$31</xm:f>
          </x14:formula1>
          <xm:sqref>I6</xm:sqref>
        </x14:dataValidation>
        <x14:dataValidation type="list" allowBlank="1" showInputMessage="1" showErrorMessage="1">
          <x14:formula1>
            <xm:f>基本!$A$27:$A$33</xm:f>
          </x14:formula1>
          <xm:sqref>I5</xm:sqref>
        </x14:dataValidation>
        <x14:dataValidation type="list" allowBlank="1" showInputMessage="1" showErrorMessage="1">
          <x14:formula1>
            <xm:f>基本!$A$16:$A$19</xm:f>
          </x14:formula1>
          <xm:sqref>K8</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64"/>
  <sheetViews>
    <sheetView zoomScaleNormal="100" workbookViewId="0">
      <selection activeCell="B2" sqref="B2:G2"/>
    </sheetView>
  </sheetViews>
  <sheetFormatPr defaultRowHeight="13.5"/>
  <cols>
    <col min="1" max="1" width="7.875" style="287" customWidth="1"/>
    <col min="2" max="2" width="8.5" style="287" customWidth="1"/>
    <col min="3" max="3" width="6.625" style="287" customWidth="1"/>
    <col min="4" max="4" width="15.75" style="287" customWidth="1"/>
    <col min="5" max="6" width="15.75" style="288" customWidth="1"/>
    <col min="7" max="7" width="18.25" style="288" customWidth="1"/>
    <col min="8" max="8" width="17.375" style="288" customWidth="1"/>
    <col min="9" max="9" width="14.625" style="288" customWidth="1"/>
    <col min="10" max="10" width="8.375" style="288" customWidth="1"/>
    <col min="11" max="11" width="7.5" style="288" customWidth="1"/>
    <col min="12" max="13" width="7.875" style="287" customWidth="1"/>
    <col min="14" max="14" width="9.25" style="287" customWidth="1"/>
    <col min="15" max="15" width="12.375" style="287" customWidth="1"/>
    <col min="16" max="16384" width="9" style="287"/>
  </cols>
  <sheetData>
    <row r="1" spans="1:13" ht="21">
      <c r="A1" s="253" t="s">
        <v>32</v>
      </c>
      <c r="B1" s="676">
        <v>16</v>
      </c>
      <c r="C1" s="677"/>
      <c r="D1" s="254" t="s">
        <v>39</v>
      </c>
      <c r="E1" s="255" t="s">
        <v>56</v>
      </c>
      <c r="F1" s="678"/>
      <c r="G1" s="679"/>
      <c r="H1" s="244" t="s">
        <v>54</v>
      </c>
    </row>
    <row r="2" spans="1:13" ht="24.75" customHeight="1">
      <c r="A2" s="254" t="s">
        <v>0</v>
      </c>
      <c r="B2" s="680" t="s">
        <v>933</v>
      </c>
      <c r="C2" s="680"/>
      <c r="D2" s="680"/>
      <c r="E2" s="680"/>
      <c r="F2" s="680"/>
      <c r="G2" s="680"/>
      <c r="H2" s="244" t="s">
        <v>55</v>
      </c>
    </row>
    <row r="3" spans="1:13" ht="19.5" customHeight="1">
      <c r="A3" s="246" t="s">
        <v>47</v>
      </c>
      <c r="B3" s="288"/>
      <c r="C3" s="288"/>
      <c r="D3" s="288"/>
      <c r="I3" s="244"/>
    </row>
    <row r="4" spans="1:13">
      <c r="A4" s="260" t="s">
        <v>45</v>
      </c>
      <c r="B4" s="628" t="s">
        <v>923</v>
      </c>
      <c r="C4" s="629"/>
      <c r="D4" s="629"/>
      <c r="E4" s="629"/>
      <c r="F4" s="629"/>
      <c r="G4" s="630"/>
      <c r="H4" s="539" t="s">
        <v>339</v>
      </c>
      <c r="I4" s="540"/>
      <c r="J4" s="540"/>
      <c r="K4" s="540"/>
      <c r="L4" s="541"/>
    </row>
    <row r="5" spans="1:13">
      <c r="A5" s="261" t="s">
        <v>38</v>
      </c>
      <c r="B5" s="628" t="s">
        <v>924</v>
      </c>
      <c r="C5" s="629"/>
      <c r="D5" s="629"/>
      <c r="E5" s="629"/>
      <c r="F5" s="629"/>
      <c r="G5" s="630"/>
      <c r="H5" s="494" t="s">
        <v>42</v>
      </c>
      <c r="I5" s="496" t="s">
        <v>87</v>
      </c>
      <c r="J5" s="496"/>
    </row>
    <row r="6" spans="1:13">
      <c r="A6" s="261" t="s">
        <v>7</v>
      </c>
      <c r="B6" s="681" t="s">
        <v>925</v>
      </c>
      <c r="C6" s="682"/>
      <c r="D6" s="683"/>
      <c r="E6" s="494" t="s">
        <v>42</v>
      </c>
      <c r="F6" s="272" t="str">
        <f>IF($I$5 = 0,"", $I$5)</f>
        <v>使用者</v>
      </c>
      <c r="G6" s="495" t="str">
        <f>IF($J$6 = 0,"", $J$6)</f>
        <v/>
      </c>
      <c r="H6" s="494" t="s">
        <v>65</v>
      </c>
      <c r="I6" s="496"/>
      <c r="J6" s="496"/>
    </row>
    <row r="7" spans="1:13">
      <c r="A7" s="262" t="s">
        <v>6</v>
      </c>
      <c r="B7" s="628"/>
      <c r="C7" s="629"/>
      <c r="D7" s="630"/>
      <c r="E7" s="494" t="s">
        <v>65</v>
      </c>
      <c r="F7" s="495" t="str">
        <f>IF($I$6 = 0,"", $I$6)</f>
        <v/>
      </c>
      <c r="G7" s="495" t="str">
        <f>IF($J$6 = 0,"", $J$6)</f>
        <v/>
      </c>
      <c r="H7" s="494" t="s">
        <v>84</v>
      </c>
      <c r="I7" s="496" t="s">
        <v>112</v>
      </c>
      <c r="J7" s="244" t="s">
        <v>61</v>
      </c>
      <c r="L7" s="230" t="s">
        <v>343</v>
      </c>
    </row>
    <row r="8" spans="1:13" ht="13.5" customHeight="1">
      <c r="A8" s="274" t="s">
        <v>926</v>
      </c>
      <c r="B8" s="642" t="s">
        <v>930</v>
      </c>
      <c r="C8" s="643"/>
      <c r="D8" s="643"/>
      <c r="E8" s="643"/>
      <c r="F8" s="643"/>
      <c r="G8" s="644"/>
      <c r="H8" s="494" t="s">
        <v>50</v>
      </c>
      <c r="I8" s="496" t="s">
        <v>139</v>
      </c>
      <c r="J8" s="495">
        <f>IF($I$8 = "筋力",基本!$C$5,IF($I$8 = "耐久力",基本!$C$6,IF($I$8 = "敏捷力",基本!$C$7,IF($I$8 = "知力",基本!$C$8,IF($I$8 = "判断力",基本!$C$9,IF($I$8 = "判断力",基本!$C$10,""))))))</f>
        <v>7</v>
      </c>
      <c r="K8" s="496" t="s">
        <v>89</v>
      </c>
      <c r="L8" s="229">
        <f>$J$8+$L$9+$I$9</f>
        <v>8</v>
      </c>
    </row>
    <row r="9" spans="1:13" ht="1.5" customHeight="1">
      <c r="A9" s="264"/>
      <c r="B9" s="797"/>
      <c r="C9" s="520"/>
      <c r="D9" s="520"/>
      <c r="E9" s="520"/>
      <c r="F9" s="520"/>
      <c r="G9" s="615"/>
      <c r="H9" s="494" t="s">
        <v>57</v>
      </c>
      <c r="I9" s="496">
        <v>1</v>
      </c>
      <c r="J9" s="539" t="s">
        <v>52</v>
      </c>
      <c r="K9" s="541"/>
      <c r="L9" s="495">
        <f>IF($I$7=基本!$F$4,基本!$P$7,IF($I$7=基本!$F$13,基本!$P$16,IF($I$7=基本!$F$22,基本!$P$25,IF($I$7=基本!$F$31,基本!$P$34,IF($I$7=基本!$F$40,基本!$P$43,0)))))</f>
        <v>0</v>
      </c>
    </row>
    <row r="10" spans="1:13" ht="13.5" customHeight="1">
      <c r="A10" s="274" t="s">
        <v>60</v>
      </c>
      <c r="B10" s="642" t="s">
        <v>927</v>
      </c>
      <c r="C10" s="643"/>
      <c r="D10" s="643"/>
      <c r="E10" s="643"/>
      <c r="F10" s="643"/>
      <c r="G10" s="644"/>
      <c r="H10" s="493" t="s">
        <v>51</v>
      </c>
      <c r="I10" s="496" t="s">
        <v>139</v>
      </c>
      <c r="J10" s="249">
        <f>IF($I$8 = "筋力",基本!$C$5,IF($I$10 = "耐久力",基本!$C$6,IF($I$10 = "敏捷力",基本!$C$7,IF($I$10 = "知力",基本!$C$8,IF($I$10 = "判断力",基本!$C$9,IF($I$10 = "判断力",基本!$C$10,""))))))</f>
        <v>7</v>
      </c>
      <c r="L10" s="288"/>
    </row>
    <row r="11" spans="1:13">
      <c r="A11" s="274"/>
      <c r="B11" s="614" t="s">
        <v>928</v>
      </c>
      <c r="C11" s="520"/>
      <c r="D11" s="520"/>
      <c r="E11" s="520"/>
      <c r="F11" s="520"/>
      <c r="G11" s="615"/>
      <c r="H11" s="494" t="s">
        <v>58</v>
      </c>
      <c r="I11" s="496">
        <v>0</v>
      </c>
      <c r="J11" s="539" t="s">
        <v>53</v>
      </c>
      <c r="K11" s="541"/>
      <c r="L11" s="495">
        <f>IF($I$7=基本!$F$4,基本!$P$9,IF($I$7=基本!$F$13,基本!$P$18,IF($I$7=基本!$F$22,基本!$P$27,IF($I$7=基本!$F$31,基本!$P$36,IF($I$7=基本!$F$40,基本!$P$45,0)))))</f>
        <v>0</v>
      </c>
      <c r="M11" s="284"/>
    </row>
    <row r="12" spans="1:13">
      <c r="A12" s="274"/>
      <c r="B12" s="645" t="s">
        <v>929</v>
      </c>
      <c r="C12" s="646"/>
      <c r="D12" s="646"/>
      <c r="E12" s="646"/>
      <c r="F12" s="646"/>
      <c r="G12" s="647"/>
      <c r="H12" s="283"/>
      <c r="I12" s="283"/>
      <c r="J12" s="287"/>
      <c r="K12" s="287"/>
      <c r="L12" s="230" t="s">
        <v>343</v>
      </c>
    </row>
    <row r="13" spans="1:13" ht="13.5" customHeight="1">
      <c r="A13" s="274"/>
      <c r="B13" s="645" t="s">
        <v>931</v>
      </c>
      <c r="C13" s="646"/>
      <c r="D13" s="646"/>
      <c r="E13" s="646"/>
      <c r="F13" s="646"/>
      <c r="G13" s="647"/>
      <c r="H13" s="494" t="s">
        <v>85</v>
      </c>
      <c r="I13" s="496">
        <v>1</v>
      </c>
      <c r="J13" s="494" t="s">
        <v>43</v>
      </c>
      <c r="K13" s="496">
        <v>10</v>
      </c>
      <c r="L13" s="229">
        <f>$J$10+$L$11+$I$11</f>
        <v>7</v>
      </c>
      <c r="M13" s="284"/>
    </row>
    <row r="14" spans="1:13" ht="2.25" customHeight="1">
      <c r="A14" s="274"/>
      <c r="B14" s="614"/>
      <c r="C14" s="520"/>
      <c r="D14" s="520"/>
      <c r="E14" s="520"/>
      <c r="F14" s="520"/>
      <c r="G14" s="615"/>
      <c r="H14" s="494" t="s">
        <v>49</v>
      </c>
      <c r="I14" s="245">
        <f>IF($I$7=基本!$F$4,基本!$L$11,IF($I$7=基本!$F$13,基本!$L$20,IF($I$7=基本!$F$22,基本!$L$29,IF($I$7=基本!$F$31,基本!$L$38,IF($I$7=基本!$F$40,基本!$L$47,0)))))</f>
        <v>5</v>
      </c>
      <c r="J14" s="494" t="s">
        <v>341</v>
      </c>
      <c r="K14" s="245">
        <f>IF($I$7=基本!$F$4,基本!$N$11,IF($I$7=基本!$F$13,基本!$N$20,IF($I$7=基本!$F$22,基本!$N$29,IF($I$7=基本!$F$31,基本!$N$38,IF($I$7=基本!$F$40,基本!$N$47,0)))))</f>
        <v>12</v>
      </c>
      <c r="L14" s="229">
        <f>$J$10+$L$11+$I$11+($I$13*$K$13)</f>
        <v>17</v>
      </c>
      <c r="M14" s="284"/>
    </row>
    <row r="15" spans="1:13" ht="2.25" customHeight="1">
      <c r="A15" s="274"/>
      <c r="B15" s="698"/>
      <c r="C15" s="699"/>
      <c r="D15" s="699"/>
      <c r="E15" s="699"/>
      <c r="F15" s="699"/>
      <c r="G15" s="700"/>
      <c r="H15" s="494" t="s">
        <v>59</v>
      </c>
      <c r="I15" s="496"/>
      <c r="J15" s="494" t="s">
        <v>342</v>
      </c>
      <c r="K15" s="496" t="s">
        <v>15</v>
      </c>
      <c r="L15" s="495">
        <f>IF(K15="",0,VLOOKUP(K15,基本!$A$5:'基本'!$C$10,3,FALSE))</f>
        <v>3</v>
      </c>
      <c r="M15" s="284"/>
    </row>
    <row r="16" spans="1:13" ht="2.25" customHeight="1">
      <c r="A16" s="274"/>
      <c r="B16" s="614"/>
      <c r="C16" s="520"/>
      <c r="D16" s="520"/>
      <c r="E16" s="520"/>
      <c r="F16" s="520"/>
      <c r="G16" s="615"/>
    </row>
    <row r="17" spans="1:13" ht="2.25" customHeight="1">
      <c r="A17" s="264"/>
      <c r="B17" s="716"/>
      <c r="C17" s="717"/>
      <c r="D17" s="717"/>
      <c r="E17" s="717"/>
      <c r="F17" s="717"/>
      <c r="G17" s="718"/>
      <c r="J17" s="287"/>
      <c r="K17" s="287"/>
    </row>
    <row r="18" spans="1:13" ht="8.25" customHeight="1">
      <c r="A18" s="523"/>
      <c r="B18" s="523"/>
      <c r="C18" s="523"/>
      <c r="D18" s="523"/>
      <c r="E18" s="523"/>
      <c r="F18" s="523"/>
      <c r="G18" s="523"/>
    </row>
    <row r="19" spans="1:13" ht="14.25">
      <c r="A19" s="517" t="s">
        <v>973</v>
      </c>
      <c r="B19" s="517"/>
      <c r="C19" s="517"/>
      <c r="D19" s="517"/>
      <c r="E19" s="517"/>
      <c r="F19" s="517"/>
      <c r="G19" s="517"/>
      <c r="H19"/>
      <c r="I19" s="287"/>
      <c r="J19" s="287"/>
      <c r="K19" s="287"/>
    </row>
    <row r="20" spans="1:13" ht="13.5" customHeight="1">
      <c r="A20" s="529" t="s">
        <v>440</v>
      </c>
      <c r="B20" s="529"/>
      <c r="C20" s="529"/>
      <c r="D20" s="529"/>
      <c r="E20" s="529"/>
      <c r="F20" s="529"/>
      <c r="G20" s="529"/>
      <c r="H20"/>
    </row>
    <row r="21" spans="1:13" ht="13.5" customHeight="1">
      <c r="A21" s="525" t="s">
        <v>441</v>
      </c>
      <c r="B21" s="525"/>
      <c r="C21" s="525"/>
      <c r="D21" s="525"/>
      <c r="E21" s="525"/>
      <c r="F21" s="525"/>
      <c r="G21" s="525"/>
    </row>
    <row r="22" spans="1:13" ht="13.5" customHeight="1">
      <c r="A22" s="525" t="s">
        <v>442</v>
      </c>
      <c r="B22" s="525"/>
      <c r="C22" s="525"/>
      <c r="D22" s="525"/>
      <c r="E22" s="525"/>
      <c r="F22" s="525"/>
      <c r="G22" s="525"/>
    </row>
    <row r="23" spans="1:13" ht="7.5" customHeight="1">
      <c r="A23" s="717"/>
      <c r="B23" s="717"/>
      <c r="C23" s="717"/>
      <c r="D23" s="717"/>
      <c r="E23" s="717"/>
      <c r="F23" s="717"/>
      <c r="G23" s="717"/>
    </row>
    <row r="24" spans="1:13" ht="13.5" customHeight="1">
      <c r="A24" s="619" t="s">
        <v>48</v>
      </c>
      <c r="B24" s="620"/>
      <c r="C24" s="620"/>
      <c r="D24" s="620"/>
      <c r="E24" s="620"/>
      <c r="F24" s="620"/>
      <c r="G24" s="621"/>
    </row>
    <row r="25" spans="1:13" s="283" customFormat="1" ht="13.5" customHeight="1">
      <c r="A25" s="645" t="s">
        <v>934</v>
      </c>
      <c r="B25" s="646"/>
      <c r="C25" s="646"/>
      <c r="D25" s="646"/>
      <c r="E25" s="646"/>
      <c r="F25" s="646"/>
      <c r="G25" s="647"/>
      <c r="L25" s="284"/>
      <c r="M25" s="284"/>
    </row>
    <row r="26" spans="1:13" s="283" customFormat="1" ht="8.25" customHeight="1">
      <c r="A26" s="719"/>
      <c r="B26" s="720"/>
      <c r="C26" s="720"/>
      <c r="D26" s="720"/>
      <c r="E26" s="720"/>
      <c r="F26" s="720"/>
      <c r="G26" s="721"/>
      <c r="L26" s="284"/>
      <c r="M26" s="284"/>
    </row>
    <row r="27" spans="1:13" s="283" customFormat="1" ht="13.5" customHeight="1">
      <c r="A27" s="645" t="s">
        <v>945</v>
      </c>
      <c r="B27" s="646"/>
      <c r="C27" s="646"/>
      <c r="D27" s="646"/>
      <c r="E27" s="646"/>
      <c r="F27" s="646"/>
      <c r="G27" s="647"/>
      <c r="L27" s="284"/>
      <c r="M27" s="284"/>
    </row>
    <row r="28" spans="1:13" s="283" customFormat="1" ht="13.5" customHeight="1">
      <c r="A28" s="645" t="s">
        <v>935</v>
      </c>
      <c r="B28" s="646"/>
      <c r="C28" s="646"/>
      <c r="D28" s="646"/>
      <c r="E28" s="646"/>
      <c r="F28" s="646"/>
      <c r="G28" s="647"/>
      <c r="L28" s="284"/>
      <c r="M28" s="284"/>
    </row>
    <row r="29" spans="1:13" s="284" customFormat="1" ht="13.5" customHeight="1">
      <c r="A29" s="645" t="s">
        <v>936</v>
      </c>
      <c r="B29" s="646"/>
      <c r="C29" s="646"/>
      <c r="D29" s="646"/>
      <c r="E29" s="646"/>
      <c r="F29" s="646"/>
      <c r="G29" s="647"/>
      <c r="H29" s="283"/>
      <c r="I29" s="283"/>
      <c r="J29" s="283"/>
      <c r="K29" s="283"/>
    </row>
    <row r="30" spans="1:13" s="283" customFormat="1" ht="13.5" customHeight="1">
      <c r="A30" s="614" t="s">
        <v>946</v>
      </c>
      <c r="B30" s="520"/>
      <c r="C30" s="520"/>
      <c r="D30" s="520"/>
      <c r="E30" s="520"/>
      <c r="F30" s="520"/>
      <c r="G30" s="615"/>
      <c r="L30" s="284"/>
      <c r="M30" s="284"/>
    </row>
    <row r="31" spans="1:13" s="284" customFormat="1" ht="13.5" customHeight="1">
      <c r="A31" s="645" t="s">
        <v>932</v>
      </c>
      <c r="B31" s="646"/>
      <c r="C31" s="646"/>
      <c r="D31" s="646"/>
      <c r="E31" s="646"/>
      <c r="F31" s="646"/>
      <c r="G31" s="647"/>
      <c r="H31" s="283"/>
      <c r="I31" s="283"/>
      <c r="J31" s="283"/>
      <c r="K31" s="283"/>
    </row>
    <row r="32" spans="1:13" s="283" customFormat="1" ht="13.5" customHeight="1">
      <c r="A32" s="645" t="s">
        <v>947</v>
      </c>
      <c r="B32" s="646"/>
      <c r="C32" s="646"/>
      <c r="D32" s="646"/>
      <c r="E32" s="646"/>
      <c r="F32" s="646"/>
      <c r="G32" s="647"/>
      <c r="L32" s="284"/>
      <c r="M32" s="284"/>
    </row>
    <row r="33" spans="1:13" s="283" customFormat="1" ht="13.5" customHeight="1">
      <c r="A33" s="645" t="s">
        <v>937</v>
      </c>
      <c r="B33" s="646"/>
      <c r="C33" s="646"/>
      <c r="D33" s="646"/>
      <c r="E33" s="646"/>
      <c r="F33" s="646"/>
      <c r="G33" s="647"/>
      <c r="L33" s="284"/>
      <c r="M33" s="284"/>
    </row>
    <row r="34" spans="1:13" s="283" customFormat="1" ht="13.5" customHeight="1">
      <c r="A34" s="645" t="s">
        <v>948</v>
      </c>
      <c r="B34" s="646"/>
      <c r="C34" s="646"/>
      <c r="D34" s="646"/>
      <c r="E34" s="646"/>
      <c r="F34" s="646"/>
      <c r="G34" s="647"/>
      <c r="L34" s="284"/>
      <c r="M34" s="284"/>
    </row>
    <row r="35" spans="1:13" s="283" customFormat="1" ht="13.5" customHeight="1">
      <c r="A35" s="614" t="s">
        <v>938</v>
      </c>
      <c r="B35" s="520"/>
      <c r="C35" s="520"/>
      <c r="D35" s="520"/>
      <c r="E35" s="520"/>
      <c r="F35" s="520"/>
      <c r="G35" s="615"/>
      <c r="L35" s="284"/>
      <c r="M35" s="284"/>
    </row>
    <row r="36" spans="1:13" s="283" customFormat="1" ht="13.5" customHeight="1">
      <c r="A36" s="645" t="s">
        <v>951</v>
      </c>
      <c r="B36" s="646"/>
      <c r="C36" s="646"/>
      <c r="D36" s="646"/>
      <c r="E36" s="646"/>
      <c r="F36" s="646"/>
      <c r="G36" s="647"/>
      <c r="L36" s="284"/>
      <c r="M36" s="284"/>
    </row>
    <row r="37" spans="1:13" s="283" customFormat="1" ht="13.5" customHeight="1">
      <c r="A37" s="614" t="s">
        <v>939</v>
      </c>
      <c r="B37" s="520"/>
      <c r="C37" s="520"/>
      <c r="D37" s="520"/>
      <c r="E37" s="520"/>
      <c r="F37" s="520"/>
      <c r="G37" s="615"/>
      <c r="L37" s="284"/>
      <c r="M37" s="284"/>
    </row>
    <row r="38" spans="1:13" s="283" customFormat="1" ht="13.5" customHeight="1">
      <c r="A38" s="614" t="s">
        <v>949</v>
      </c>
      <c r="B38" s="520"/>
      <c r="C38" s="520"/>
      <c r="D38" s="520"/>
      <c r="E38" s="520"/>
      <c r="F38" s="520"/>
      <c r="G38" s="615"/>
      <c r="L38" s="284"/>
      <c r="M38" s="284"/>
    </row>
    <row r="39" spans="1:13" s="283" customFormat="1" ht="13.5" customHeight="1">
      <c r="A39" s="614" t="s">
        <v>950</v>
      </c>
      <c r="B39" s="520"/>
      <c r="C39" s="520"/>
      <c r="D39" s="520"/>
      <c r="E39" s="520"/>
      <c r="F39" s="520"/>
      <c r="G39" s="615"/>
      <c r="L39" s="284"/>
      <c r="M39" s="284"/>
    </row>
    <row r="40" spans="1:13" s="283" customFormat="1" ht="13.5" customHeight="1">
      <c r="A40" s="614" t="s">
        <v>965</v>
      </c>
      <c r="B40" s="520"/>
      <c r="C40" s="520"/>
      <c r="D40" s="520"/>
      <c r="E40" s="520"/>
      <c r="F40" s="520"/>
      <c r="G40" s="615"/>
      <c r="L40" s="284"/>
      <c r="M40" s="284"/>
    </row>
    <row r="41" spans="1:13" s="283" customFormat="1" ht="13.5" customHeight="1">
      <c r="A41" s="614" t="s">
        <v>964</v>
      </c>
      <c r="B41" s="520"/>
      <c r="C41" s="520"/>
      <c r="D41" s="520"/>
      <c r="E41" s="520"/>
      <c r="F41" s="520"/>
      <c r="G41" s="615"/>
      <c r="L41" s="284"/>
      <c r="M41" s="284"/>
    </row>
    <row r="42" spans="1:13" s="283" customFormat="1" ht="13.5" customHeight="1">
      <c r="A42" s="614" t="s">
        <v>954</v>
      </c>
      <c r="B42" s="520"/>
      <c r="C42" s="520"/>
      <c r="D42" s="520"/>
      <c r="E42" s="520"/>
      <c r="F42" s="520"/>
      <c r="G42" s="615"/>
      <c r="L42" s="284"/>
      <c r="M42" s="284"/>
    </row>
    <row r="43" spans="1:13" s="283" customFormat="1" ht="13.5" customHeight="1">
      <c r="A43" s="645" t="s">
        <v>955</v>
      </c>
      <c r="B43" s="646"/>
      <c r="C43" s="646"/>
      <c r="D43" s="646"/>
      <c r="E43" s="646"/>
      <c r="F43" s="646"/>
      <c r="G43" s="647"/>
      <c r="L43" s="284"/>
      <c r="M43" s="284"/>
    </row>
    <row r="44" spans="1:13" s="283" customFormat="1" ht="13.5" customHeight="1">
      <c r="A44" s="614" t="s">
        <v>967</v>
      </c>
      <c r="B44" s="520"/>
      <c r="C44" s="520"/>
      <c r="D44" s="520"/>
      <c r="E44" s="520"/>
      <c r="F44" s="520"/>
      <c r="G44" s="615"/>
      <c r="L44" s="284"/>
      <c r="M44" s="284"/>
    </row>
    <row r="45" spans="1:13" s="283" customFormat="1" ht="13.5" customHeight="1">
      <c r="A45" s="614" t="s">
        <v>952</v>
      </c>
      <c r="B45" s="520"/>
      <c r="C45" s="520"/>
      <c r="D45" s="520"/>
      <c r="E45" s="520"/>
      <c r="F45" s="520"/>
      <c r="G45" s="615"/>
      <c r="L45" s="284"/>
      <c r="M45" s="284"/>
    </row>
    <row r="46" spans="1:13" s="283" customFormat="1" ht="13.5" customHeight="1">
      <c r="A46" s="614" t="s">
        <v>953</v>
      </c>
      <c r="B46" s="520"/>
      <c r="C46" s="520"/>
      <c r="D46" s="520"/>
      <c r="E46" s="520"/>
      <c r="F46" s="520"/>
      <c r="G46" s="615"/>
      <c r="L46" s="284"/>
      <c r="M46" s="284"/>
    </row>
    <row r="47" spans="1:13" s="283" customFormat="1" ht="13.5" customHeight="1">
      <c r="A47" s="614" t="s">
        <v>954</v>
      </c>
      <c r="B47" s="520"/>
      <c r="C47" s="520"/>
      <c r="D47" s="520"/>
      <c r="E47" s="520"/>
      <c r="F47" s="520"/>
      <c r="G47" s="615"/>
      <c r="L47" s="284"/>
      <c r="M47" s="284"/>
    </row>
    <row r="48" spans="1:13" s="283" customFormat="1" ht="13.5" customHeight="1">
      <c r="A48" s="645" t="s">
        <v>966</v>
      </c>
      <c r="B48" s="646"/>
      <c r="C48" s="646"/>
      <c r="D48" s="646"/>
      <c r="E48" s="646"/>
      <c r="F48" s="646"/>
      <c r="G48" s="647"/>
      <c r="L48" s="284"/>
      <c r="M48" s="284"/>
    </row>
    <row r="49" spans="1:13" s="283" customFormat="1" ht="13.5" customHeight="1">
      <c r="A49" s="614" t="s">
        <v>968</v>
      </c>
      <c r="B49" s="520"/>
      <c r="C49" s="520"/>
      <c r="D49" s="520"/>
      <c r="E49" s="520"/>
      <c r="F49" s="520"/>
      <c r="G49" s="615"/>
      <c r="L49" s="284"/>
      <c r="M49" s="284"/>
    </row>
    <row r="50" spans="1:13" s="283" customFormat="1" ht="13.5" customHeight="1">
      <c r="A50" s="614" t="s">
        <v>962</v>
      </c>
      <c r="B50" s="520"/>
      <c r="C50" s="520"/>
      <c r="D50" s="520"/>
      <c r="E50" s="520"/>
      <c r="F50" s="520"/>
      <c r="G50" s="615"/>
      <c r="L50" s="284"/>
      <c r="M50" s="284"/>
    </row>
    <row r="51" spans="1:13" s="283" customFormat="1" ht="13.5" customHeight="1">
      <c r="A51" s="614" t="s">
        <v>963</v>
      </c>
      <c r="B51" s="520"/>
      <c r="C51" s="520"/>
      <c r="D51" s="520"/>
      <c r="E51" s="520"/>
      <c r="F51" s="520"/>
      <c r="G51" s="615"/>
      <c r="L51" s="284"/>
      <c r="M51" s="284"/>
    </row>
    <row r="52" spans="1:13" s="283" customFormat="1" ht="13.5" customHeight="1">
      <c r="A52" s="645" t="s">
        <v>972</v>
      </c>
      <c r="B52" s="646"/>
      <c r="C52" s="646"/>
      <c r="D52" s="646"/>
      <c r="E52" s="646"/>
      <c r="F52" s="646"/>
      <c r="G52" s="647"/>
      <c r="L52" s="284"/>
      <c r="M52" s="284"/>
    </row>
    <row r="53" spans="1:13" s="283" customFormat="1" ht="13.5" customHeight="1">
      <c r="A53" s="614" t="s">
        <v>969</v>
      </c>
      <c r="B53" s="520"/>
      <c r="C53" s="520"/>
      <c r="D53" s="520"/>
      <c r="E53" s="520"/>
      <c r="F53" s="520"/>
      <c r="G53" s="615"/>
      <c r="L53" s="284"/>
      <c r="M53" s="284"/>
    </row>
    <row r="54" spans="1:13" s="283" customFormat="1" ht="13.5" customHeight="1">
      <c r="A54" s="614" t="s">
        <v>956</v>
      </c>
      <c r="B54" s="520"/>
      <c r="C54" s="520"/>
      <c r="D54" s="520"/>
      <c r="E54" s="520"/>
      <c r="F54" s="520"/>
      <c r="G54" s="615"/>
      <c r="L54" s="284"/>
      <c r="M54" s="284"/>
    </row>
    <row r="55" spans="1:13" s="283" customFormat="1" ht="13.5" customHeight="1">
      <c r="A55" s="614" t="s">
        <v>957</v>
      </c>
      <c r="B55" s="520"/>
      <c r="C55" s="520"/>
      <c r="D55" s="520"/>
      <c r="E55" s="520"/>
      <c r="F55" s="520"/>
      <c r="G55" s="615"/>
      <c r="L55" s="284"/>
      <c r="M55" s="284"/>
    </row>
    <row r="56" spans="1:13" s="283" customFormat="1" ht="13.5" customHeight="1">
      <c r="A56" s="614" t="s">
        <v>958</v>
      </c>
      <c r="B56" s="520"/>
      <c r="C56" s="520"/>
      <c r="D56" s="520"/>
      <c r="E56" s="520"/>
      <c r="F56" s="520"/>
      <c r="G56" s="615"/>
      <c r="L56" s="284"/>
      <c r="M56" s="284"/>
    </row>
    <row r="57" spans="1:13" s="283" customFormat="1" ht="13.5" customHeight="1">
      <c r="A57" s="645" t="s">
        <v>959</v>
      </c>
      <c r="B57" s="646"/>
      <c r="C57" s="646"/>
      <c r="D57" s="646"/>
      <c r="E57" s="646"/>
      <c r="F57" s="646"/>
      <c r="G57" s="647"/>
      <c r="L57" s="284"/>
      <c r="M57" s="284"/>
    </row>
    <row r="58" spans="1:13" s="283" customFormat="1" ht="13.5" customHeight="1">
      <c r="A58" s="645" t="s">
        <v>970</v>
      </c>
      <c r="B58" s="646"/>
      <c r="C58" s="646"/>
      <c r="D58" s="646"/>
      <c r="E58" s="646"/>
      <c r="F58" s="646"/>
      <c r="G58" s="647"/>
      <c r="L58" s="284"/>
      <c r="M58" s="284"/>
    </row>
    <row r="59" spans="1:13" s="283" customFormat="1" ht="13.5" customHeight="1">
      <c r="A59" s="645" t="s">
        <v>960</v>
      </c>
      <c r="B59" s="646"/>
      <c r="C59" s="646"/>
      <c r="D59" s="646"/>
      <c r="E59" s="646"/>
      <c r="F59" s="646"/>
      <c r="G59" s="647"/>
      <c r="L59" s="284"/>
      <c r="M59" s="284"/>
    </row>
    <row r="60" spans="1:13" s="283" customFormat="1" ht="13.5" customHeight="1">
      <c r="A60" s="614" t="s">
        <v>971</v>
      </c>
      <c r="B60" s="520"/>
      <c r="C60" s="520"/>
      <c r="D60" s="520"/>
      <c r="E60" s="520"/>
      <c r="F60" s="520"/>
      <c r="G60" s="615"/>
      <c r="L60" s="284"/>
      <c r="M60" s="284"/>
    </row>
    <row r="61" spans="1:13" s="283" customFormat="1" ht="13.5" customHeight="1">
      <c r="A61" s="614" t="s">
        <v>941</v>
      </c>
      <c r="B61" s="520"/>
      <c r="C61" s="520"/>
      <c r="D61" s="520"/>
      <c r="E61" s="520"/>
      <c r="F61" s="520"/>
      <c r="G61" s="615"/>
      <c r="L61" s="284"/>
      <c r="M61" s="284"/>
    </row>
    <row r="62" spans="1:13" s="283" customFormat="1" ht="13.5" customHeight="1">
      <c r="A62" s="614" t="s">
        <v>961</v>
      </c>
      <c r="B62" s="520"/>
      <c r="C62" s="520"/>
      <c r="D62" s="520"/>
      <c r="E62" s="520"/>
      <c r="F62" s="520"/>
      <c r="G62" s="615"/>
      <c r="L62" s="284"/>
      <c r="M62" s="284"/>
    </row>
    <row r="63" spans="1:13" s="283" customFormat="1" ht="6.75" customHeight="1">
      <c r="A63" s="645"/>
      <c r="B63" s="646"/>
      <c r="C63" s="646"/>
      <c r="D63" s="646"/>
      <c r="E63" s="646"/>
      <c r="F63" s="646"/>
      <c r="G63" s="647"/>
      <c r="L63" s="284"/>
      <c r="M63" s="284"/>
    </row>
    <row r="64" spans="1:13" s="288" customFormat="1" ht="21">
      <c r="A64" s="250" t="s">
        <v>32</v>
      </c>
      <c r="B64" s="497">
        <f>$B$1</f>
        <v>16</v>
      </c>
      <c r="C64" s="251" t="s">
        <v>39</v>
      </c>
      <c r="D64" s="252" t="str">
        <f>$E$1</f>
        <v>遭遇毎</v>
      </c>
      <c r="E64" s="691" t="str">
        <f>$B$2</f>
        <v>ワード・オヴ・レフュージ</v>
      </c>
      <c r="F64" s="692"/>
      <c r="G64" s="693"/>
      <c r="L64" s="287"/>
      <c r="M64" s="287"/>
    </row>
  </sheetData>
  <mergeCells count="67">
    <mergeCell ref="A49:G49"/>
    <mergeCell ref="A50:G50"/>
    <mergeCell ref="A51:G51"/>
    <mergeCell ref="A43:G43"/>
    <mergeCell ref="A40:G40"/>
    <mergeCell ref="A41:G41"/>
    <mergeCell ref="A42:G42"/>
    <mergeCell ref="A45:G45"/>
    <mergeCell ref="A46:G46"/>
    <mergeCell ref="A47:G47"/>
    <mergeCell ref="A48:G48"/>
    <mergeCell ref="A52:G52"/>
    <mergeCell ref="H4:L4"/>
    <mergeCell ref="B5:G5"/>
    <mergeCell ref="B10:G10"/>
    <mergeCell ref="B1:C1"/>
    <mergeCell ref="F1:G1"/>
    <mergeCell ref="B2:G2"/>
    <mergeCell ref="B4:G4"/>
    <mergeCell ref="B6:D6"/>
    <mergeCell ref="B7:D7"/>
    <mergeCell ref="B8:G8"/>
    <mergeCell ref="B9:G9"/>
    <mergeCell ref="J9:K9"/>
    <mergeCell ref="B16:G16"/>
    <mergeCell ref="B17:G17"/>
    <mergeCell ref="A18:G18"/>
    <mergeCell ref="B11:G11"/>
    <mergeCell ref="J11:K11"/>
    <mergeCell ref="B12:G12"/>
    <mergeCell ref="B13:G13"/>
    <mergeCell ref="B14:G14"/>
    <mergeCell ref="B15:G15"/>
    <mergeCell ref="A36:G36"/>
    <mergeCell ref="A31:G31"/>
    <mergeCell ref="A32:G32"/>
    <mergeCell ref="A23:G23"/>
    <mergeCell ref="A24:G24"/>
    <mergeCell ref="A26:G26"/>
    <mergeCell ref="A25:G25"/>
    <mergeCell ref="A27:G27"/>
    <mergeCell ref="A28:G28"/>
    <mergeCell ref="A29:G29"/>
    <mergeCell ref="A19:G19"/>
    <mergeCell ref="A20:G20"/>
    <mergeCell ref="A21:G21"/>
    <mergeCell ref="A22:G22"/>
    <mergeCell ref="A35:G35"/>
    <mergeCell ref="A59:G59"/>
    <mergeCell ref="A63:G63"/>
    <mergeCell ref="E64:G64"/>
    <mergeCell ref="A60:G60"/>
    <mergeCell ref="A61:G61"/>
    <mergeCell ref="A62:G62"/>
    <mergeCell ref="A58:G58"/>
    <mergeCell ref="A53:G53"/>
    <mergeCell ref="A54:G54"/>
    <mergeCell ref="A56:G56"/>
    <mergeCell ref="A55:G55"/>
    <mergeCell ref="A57:G57"/>
    <mergeCell ref="A30:G30"/>
    <mergeCell ref="A37:G37"/>
    <mergeCell ref="A38:G38"/>
    <mergeCell ref="A39:G39"/>
    <mergeCell ref="A44:G44"/>
    <mergeCell ref="A34:G34"/>
    <mergeCell ref="A33:G33"/>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M59"/>
  <sheetViews>
    <sheetView topLeftCell="A26" zoomScaleNormal="100" workbookViewId="0">
      <selection activeCell="A40" sqref="A40:G40"/>
    </sheetView>
  </sheetViews>
  <sheetFormatPr defaultRowHeight="13.5"/>
  <cols>
    <col min="1" max="1" width="7.875" style="133" customWidth="1"/>
    <col min="2" max="2" width="8.5" style="133" customWidth="1"/>
    <col min="3" max="3" width="6.625" style="133" customWidth="1"/>
    <col min="4" max="4" width="15.75" style="133" customWidth="1"/>
    <col min="5" max="6" width="15.75" style="88" customWidth="1"/>
    <col min="7" max="7" width="18.25" style="88" customWidth="1"/>
    <col min="8" max="8" width="17.375" style="88" customWidth="1"/>
    <col min="9" max="9" width="14.625" style="88" customWidth="1"/>
    <col min="10" max="10" width="8.375" style="88" customWidth="1"/>
    <col min="11" max="11" width="7.5" style="88" customWidth="1"/>
    <col min="12" max="13" width="7.875" style="133" customWidth="1"/>
    <col min="14" max="14" width="9.25" style="133" customWidth="1"/>
    <col min="15" max="15" width="12.375" style="133" customWidth="1"/>
    <col min="16" max="16384" width="9" style="133"/>
  </cols>
  <sheetData>
    <row r="1" spans="1:12" ht="21">
      <c r="A1" s="186" t="s">
        <v>32</v>
      </c>
      <c r="B1" s="807">
        <v>4</v>
      </c>
      <c r="C1" s="808"/>
      <c r="D1" s="187" t="s">
        <v>39</v>
      </c>
      <c r="E1" s="188" t="s">
        <v>236</v>
      </c>
      <c r="F1" s="809"/>
      <c r="G1" s="810"/>
      <c r="H1" s="93" t="s">
        <v>54</v>
      </c>
    </row>
    <row r="2" spans="1:12" ht="24.75" customHeight="1">
      <c r="A2" s="187" t="s">
        <v>0</v>
      </c>
      <c r="B2" s="811" t="s">
        <v>235</v>
      </c>
      <c r="C2" s="811"/>
      <c r="D2" s="811"/>
      <c r="E2" s="811"/>
      <c r="F2" s="811"/>
      <c r="G2" s="811"/>
      <c r="H2" s="93" t="s">
        <v>55</v>
      </c>
    </row>
    <row r="3" spans="1:12" ht="19.5" customHeight="1">
      <c r="A3" s="99" t="s">
        <v>47</v>
      </c>
      <c r="B3" s="88"/>
      <c r="C3" s="88"/>
      <c r="D3" s="88"/>
      <c r="I3" s="93"/>
    </row>
    <row r="4" spans="1:12">
      <c r="A4" s="72" t="s">
        <v>45</v>
      </c>
      <c r="B4" s="628" t="s">
        <v>237</v>
      </c>
      <c r="C4" s="629"/>
      <c r="D4" s="629"/>
      <c r="E4" s="629"/>
      <c r="F4" s="629"/>
      <c r="G4" s="630"/>
      <c r="H4" s="539" t="s">
        <v>339</v>
      </c>
      <c r="I4" s="540"/>
      <c r="J4" s="540"/>
      <c r="K4" s="540"/>
      <c r="L4" s="541"/>
    </row>
    <row r="5" spans="1:12">
      <c r="A5" s="123" t="s">
        <v>238</v>
      </c>
      <c r="B5" s="709" t="s">
        <v>244</v>
      </c>
      <c r="C5" s="710"/>
      <c r="D5" s="711"/>
      <c r="E5" s="182" t="s">
        <v>243</v>
      </c>
      <c r="F5" s="628" t="s">
        <v>248</v>
      </c>
      <c r="G5" s="630"/>
      <c r="H5" s="182" t="s">
        <v>42</v>
      </c>
      <c r="I5" s="184" t="s">
        <v>69</v>
      </c>
      <c r="J5" s="184"/>
    </row>
    <row r="6" spans="1:12">
      <c r="A6" s="123" t="s">
        <v>239</v>
      </c>
      <c r="B6" s="709" t="s">
        <v>245</v>
      </c>
      <c r="C6" s="710"/>
      <c r="D6" s="711"/>
      <c r="E6" s="182" t="s">
        <v>242</v>
      </c>
      <c r="F6" s="628" t="s">
        <v>247</v>
      </c>
      <c r="G6" s="630"/>
      <c r="H6" s="182" t="s">
        <v>65</v>
      </c>
      <c r="I6" s="184" t="s">
        <v>66</v>
      </c>
      <c r="J6" s="184">
        <v>5</v>
      </c>
    </row>
    <row r="7" spans="1:12">
      <c r="A7" s="123" t="s">
        <v>240</v>
      </c>
      <c r="B7" s="628" t="s">
        <v>245</v>
      </c>
      <c r="C7" s="629"/>
      <c r="D7" s="630"/>
      <c r="E7" s="182" t="s">
        <v>241</v>
      </c>
      <c r="F7" s="628" t="s">
        <v>246</v>
      </c>
      <c r="G7" s="630"/>
      <c r="H7" s="182" t="s">
        <v>84</v>
      </c>
      <c r="I7" s="184" t="s">
        <v>112</v>
      </c>
      <c r="J7" s="93" t="s">
        <v>61</v>
      </c>
      <c r="L7" s="230" t="s">
        <v>343</v>
      </c>
    </row>
    <row r="8" spans="1:12" ht="13.5" customHeight="1">
      <c r="A8" s="76"/>
      <c r="B8" s="642" t="s">
        <v>249</v>
      </c>
      <c r="C8" s="643"/>
      <c r="D8" s="643"/>
      <c r="E8" s="643"/>
      <c r="F8" s="643"/>
      <c r="G8" s="644"/>
      <c r="H8" s="182" t="s">
        <v>50</v>
      </c>
      <c r="I8" s="184" t="s">
        <v>139</v>
      </c>
      <c r="J8" s="183">
        <f>IF($I$8 = "筋力",基本!$C$5,IF($I$8 = "耐久力",基本!$C$6,IF($I$8 = "敏捷力",基本!$C$7,IF($I$8 = "知力",基本!$C$8,IF($I$8 = "判断力",基本!$C$9,IF($I$8 = "判断力",基本!$C$10,""))))))</f>
        <v>7</v>
      </c>
      <c r="K8" s="184" t="s">
        <v>89</v>
      </c>
      <c r="L8" s="229">
        <f>$J$8+$L$9+$I$9</f>
        <v>8</v>
      </c>
    </row>
    <row r="9" spans="1:12" ht="13.5" customHeight="1">
      <c r="A9" s="76"/>
      <c r="B9" s="675" t="s">
        <v>250</v>
      </c>
      <c r="C9" s="646"/>
      <c r="D9" s="646"/>
      <c r="E9" s="646"/>
      <c r="F9" s="646"/>
      <c r="G9" s="647"/>
      <c r="H9" s="182" t="s">
        <v>57</v>
      </c>
      <c r="I9" s="184">
        <v>1</v>
      </c>
      <c r="J9" s="539" t="s">
        <v>52</v>
      </c>
      <c r="K9" s="541"/>
      <c r="L9" s="183">
        <f>IF($I$7=基本!$F$4,基本!$P$7,IF($I$7=基本!$F$13,基本!$P$16,IF($I$7=基本!$F$22,基本!$P$25,IF($I$7=基本!$F$31,基本!$P$34,IF($I$7=基本!$F$40,基本!$P$43,0)))))</f>
        <v>0</v>
      </c>
    </row>
    <row r="10" spans="1:12" ht="13.5" customHeight="1">
      <c r="A10" s="76"/>
      <c r="B10" s="645" t="s">
        <v>251</v>
      </c>
      <c r="C10" s="646"/>
      <c r="D10" s="646"/>
      <c r="E10" s="646"/>
      <c r="F10" s="646"/>
      <c r="G10" s="647"/>
      <c r="H10" s="181" t="s">
        <v>51</v>
      </c>
      <c r="I10" s="184" t="s">
        <v>139</v>
      </c>
      <c r="J10" s="97">
        <f>IF($I$8 = "筋力",基本!$C$5,IF($I$10 = "耐久力",基本!$C$6,IF($I$10 = "敏捷力",基本!$C$7,IF($I$10 = "知力",基本!$C$8,IF($I$10 = "判断力",基本!$C$9,IF($I$10 = "判断力",基本!$C$10,""))))))</f>
        <v>7</v>
      </c>
      <c r="L10" s="88"/>
    </row>
    <row r="11" spans="1:12" ht="13.5" customHeight="1">
      <c r="A11" s="76"/>
      <c r="B11" s="645" t="s">
        <v>252</v>
      </c>
      <c r="C11" s="646"/>
      <c r="D11" s="646"/>
      <c r="E11" s="646"/>
      <c r="F11" s="646"/>
      <c r="G11" s="647"/>
      <c r="H11" s="182" t="s">
        <v>58</v>
      </c>
      <c r="I11" s="184">
        <v>0</v>
      </c>
      <c r="J11" s="539" t="s">
        <v>53</v>
      </c>
      <c r="K11" s="541"/>
      <c r="L11" s="183">
        <f>IF($I$7=基本!$F$4,基本!$P$9,IF($I$7=基本!$F$13,基本!$P$18,IF($I$7=基本!$F$22,基本!$P$27,IF($I$7=基本!$F$31,基本!$P$36,IF($I$7=基本!$F$40,基本!$P$45,0)))))</f>
        <v>0</v>
      </c>
    </row>
    <row r="12" spans="1:12">
      <c r="A12" s="76"/>
      <c r="B12" s="645" t="s">
        <v>253</v>
      </c>
      <c r="C12" s="646"/>
      <c r="D12" s="646"/>
      <c r="E12" s="646"/>
      <c r="F12" s="646"/>
      <c r="G12" s="647"/>
      <c r="L12" s="230" t="s">
        <v>343</v>
      </c>
    </row>
    <row r="13" spans="1:12" ht="13.5" customHeight="1">
      <c r="A13" s="76"/>
      <c r="B13" s="645" t="s">
        <v>254</v>
      </c>
      <c r="C13" s="646"/>
      <c r="D13" s="646"/>
      <c r="E13" s="646"/>
      <c r="F13" s="646"/>
      <c r="G13" s="647"/>
      <c r="H13" s="219" t="s">
        <v>85</v>
      </c>
      <c r="I13" s="184">
        <v>2</v>
      </c>
      <c r="J13" s="182" t="s">
        <v>43</v>
      </c>
      <c r="K13" s="184">
        <v>10</v>
      </c>
      <c r="L13" s="229">
        <f>$J$10+$L$11+$I$11</f>
        <v>7</v>
      </c>
    </row>
    <row r="14" spans="1:12" ht="13.5" customHeight="1">
      <c r="A14" s="76"/>
      <c r="B14" s="645" t="s">
        <v>255</v>
      </c>
      <c r="C14" s="646"/>
      <c r="D14" s="646"/>
      <c r="E14" s="646"/>
      <c r="F14" s="646"/>
      <c r="G14" s="647"/>
      <c r="H14" s="182" t="s">
        <v>49</v>
      </c>
      <c r="I14" s="32">
        <f>IF($I$7=基本!$F$4,基本!$L$11,IF($I$7=基本!$F$13,基本!$L$20,IF($I$7=基本!$F$22,基本!$L$29,IF($I$7=基本!$F$31,基本!$L$38,IF($I$7=基本!$F$40,基本!$L$47,0)))))</f>
        <v>5</v>
      </c>
      <c r="J14" s="219" t="s">
        <v>341</v>
      </c>
      <c r="K14" s="32">
        <f>IF($I$7=基本!$F$4,基本!$N$11,IF($I$7=基本!$F$13,基本!$N$20,IF($I$7=基本!$F$22,基本!$N$29,IF($I$7=基本!$F$31,基本!$N$38,IF($I$7=基本!$F$40,基本!$N$47,0)))))</f>
        <v>12</v>
      </c>
      <c r="L14" s="229">
        <f>$J$10+$L$11+$I$11+($I$13*$K$13)</f>
        <v>27</v>
      </c>
    </row>
    <row r="15" spans="1:12" ht="13.5" customHeight="1">
      <c r="A15" s="76"/>
      <c r="B15" s="645" t="s">
        <v>256</v>
      </c>
      <c r="C15" s="646"/>
      <c r="D15" s="646"/>
      <c r="E15" s="646"/>
      <c r="F15" s="646"/>
      <c r="G15" s="647"/>
      <c r="H15" s="182" t="s">
        <v>59</v>
      </c>
      <c r="I15" s="184"/>
      <c r="J15" s="219" t="s">
        <v>342</v>
      </c>
      <c r="K15" s="220" t="s">
        <v>15</v>
      </c>
      <c r="L15" s="218">
        <f>IF(K15="",0,VLOOKUP(K15,基本!$A$5:'基本'!$C$10,3,FALSE))</f>
        <v>3</v>
      </c>
    </row>
    <row r="16" spans="1:12" ht="13.5" customHeight="1">
      <c r="A16" s="76"/>
      <c r="B16" s="645" t="s">
        <v>257</v>
      </c>
      <c r="C16" s="646"/>
      <c r="D16" s="646"/>
      <c r="E16" s="646"/>
      <c r="F16" s="646"/>
      <c r="G16" s="647"/>
    </row>
    <row r="17" spans="1:11" ht="13.5" customHeight="1">
      <c r="A17" s="76"/>
      <c r="B17" s="645" t="s">
        <v>258</v>
      </c>
      <c r="C17" s="646"/>
      <c r="D17" s="646"/>
      <c r="E17" s="646"/>
      <c r="F17" s="646"/>
      <c r="G17" s="647"/>
      <c r="J17" s="133"/>
      <c r="K17" s="133"/>
    </row>
    <row r="18" spans="1:11" ht="13.5" customHeight="1">
      <c r="A18" s="76"/>
      <c r="B18" s="645"/>
      <c r="C18" s="646"/>
      <c r="D18" s="646"/>
      <c r="E18" s="646"/>
      <c r="F18" s="646"/>
      <c r="G18" s="647"/>
    </row>
    <row r="19" spans="1:11" ht="13.5" customHeight="1">
      <c r="A19" s="76"/>
      <c r="B19" s="645" t="s">
        <v>259</v>
      </c>
      <c r="C19" s="646"/>
      <c r="D19" s="646"/>
      <c r="E19" s="646"/>
      <c r="F19" s="646"/>
      <c r="G19" s="647"/>
      <c r="J19" s="133"/>
      <c r="K19" s="133"/>
    </row>
    <row r="20" spans="1:11" ht="13.5" customHeight="1">
      <c r="A20" s="76"/>
      <c r="B20" s="645" t="s">
        <v>260</v>
      </c>
      <c r="C20" s="646"/>
      <c r="D20" s="646"/>
      <c r="E20" s="646"/>
      <c r="F20" s="646"/>
      <c r="G20" s="647"/>
    </row>
    <row r="21" spans="1:11" ht="13.5" customHeight="1">
      <c r="A21" s="76"/>
      <c r="B21" s="645" t="s">
        <v>261</v>
      </c>
      <c r="C21" s="646"/>
      <c r="D21" s="646"/>
      <c r="E21" s="646"/>
      <c r="F21" s="646"/>
      <c r="G21" s="647"/>
      <c r="J21" s="133"/>
      <c r="K21" s="133"/>
    </row>
    <row r="22" spans="1:11" ht="13.5" customHeight="1">
      <c r="A22" s="76"/>
      <c r="B22" s="645" t="s">
        <v>262</v>
      </c>
      <c r="C22" s="646"/>
      <c r="D22" s="646"/>
      <c r="E22" s="646"/>
      <c r="F22" s="646"/>
      <c r="G22" s="647"/>
    </row>
    <row r="23" spans="1:11" ht="13.5" customHeight="1">
      <c r="A23" s="76"/>
      <c r="B23" s="645" t="s">
        <v>263</v>
      </c>
      <c r="C23" s="646"/>
      <c r="D23" s="646"/>
      <c r="E23" s="646"/>
      <c r="F23" s="646"/>
      <c r="G23" s="647"/>
      <c r="J23" s="133"/>
      <c r="K23" s="133"/>
    </row>
    <row r="24" spans="1:11" ht="13.5" customHeight="1">
      <c r="A24" s="76"/>
      <c r="B24" s="645" t="s">
        <v>264</v>
      </c>
      <c r="C24" s="646"/>
      <c r="D24" s="646"/>
      <c r="E24" s="646"/>
      <c r="F24" s="646"/>
      <c r="G24" s="647"/>
    </row>
    <row r="25" spans="1:11" ht="13.5" customHeight="1">
      <c r="A25" s="76"/>
      <c r="B25" s="645" t="s">
        <v>291</v>
      </c>
      <c r="C25" s="646"/>
      <c r="D25" s="646"/>
      <c r="E25" s="646"/>
      <c r="F25" s="646"/>
      <c r="G25" s="647"/>
      <c r="J25" s="133"/>
      <c r="K25" s="133"/>
    </row>
    <row r="26" spans="1:11" ht="13.5" customHeight="1">
      <c r="A26" s="76"/>
      <c r="B26" s="645"/>
      <c r="C26" s="646"/>
      <c r="D26" s="646"/>
      <c r="E26" s="646"/>
      <c r="F26" s="646"/>
      <c r="G26" s="647"/>
    </row>
    <row r="27" spans="1:11" ht="13.5" customHeight="1">
      <c r="A27" s="76"/>
      <c r="B27" s="645"/>
      <c r="C27" s="646"/>
      <c r="D27" s="646"/>
      <c r="E27" s="646"/>
      <c r="F27" s="646"/>
      <c r="G27" s="647"/>
      <c r="J27" s="133"/>
      <c r="K27" s="133"/>
    </row>
    <row r="28" spans="1:11" ht="13.5" customHeight="1">
      <c r="A28" s="76"/>
      <c r="B28" s="645"/>
      <c r="C28" s="646"/>
      <c r="D28" s="646"/>
      <c r="E28" s="646"/>
      <c r="F28" s="646"/>
      <c r="G28" s="647"/>
    </row>
    <row r="29" spans="1:11" ht="13.5" customHeight="1">
      <c r="A29" s="76"/>
      <c r="B29" s="645"/>
      <c r="C29" s="646"/>
      <c r="D29" s="646"/>
      <c r="E29" s="646"/>
      <c r="F29" s="646"/>
      <c r="G29" s="647"/>
      <c r="J29" s="133"/>
      <c r="K29" s="133"/>
    </row>
    <row r="30" spans="1:11" ht="13.5" customHeight="1">
      <c r="A30" s="76"/>
      <c r="B30" s="645"/>
      <c r="C30" s="646"/>
      <c r="D30" s="646"/>
      <c r="E30" s="646"/>
      <c r="F30" s="646"/>
      <c r="G30" s="647"/>
    </row>
    <row r="31" spans="1:11" ht="13.5" customHeight="1">
      <c r="A31" s="76"/>
      <c r="B31" s="645"/>
      <c r="C31" s="646"/>
      <c r="D31" s="646"/>
      <c r="E31" s="646"/>
      <c r="F31" s="646"/>
      <c r="G31" s="647"/>
      <c r="J31" s="133"/>
      <c r="K31" s="133"/>
    </row>
    <row r="32" spans="1:11" ht="13.5" customHeight="1">
      <c r="A32" s="77"/>
      <c r="B32" s="651"/>
      <c r="C32" s="652"/>
      <c r="D32" s="652"/>
      <c r="E32" s="652"/>
      <c r="F32" s="652"/>
      <c r="G32" s="712"/>
      <c r="J32" s="133"/>
      <c r="K32" s="133"/>
    </row>
    <row r="33" spans="1:13">
      <c r="A33" s="717"/>
      <c r="B33" s="717"/>
      <c r="C33" s="717"/>
      <c r="D33" s="717"/>
      <c r="E33" s="717"/>
      <c r="F33" s="717"/>
      <c r="G33" s="717"/>
    </row>
    <row r="34" spans="1:13" ht="13.5" customHeight="1">
      <c r="A34" s="619" t="s">
        <v>48</v>
      </c>
      <c r="B34" s="620"/>
      <c r="C34" s="620"/>
      <c r="D34" s="620"/>
      <c r="E34" s="620"/>
      <c r="F34" s="620"/>
      <c r="G34" s="621"/>
    </row>
    <row r="35" spans="1:13" s="110" customFormat="1" ht="13.5" customHeight="1">
      <c r="A35" s="719"/>
      <c r="B35" s="720"/>
      <c r="C35" s="720"/>
      <c r="D35" s="720"/>
      <c r="E35" s="720"/>
      <c r="F35" s="720"/>
      <c r="G35" s="721"/>
      <c r="L35" s="111"/>
      <c r="M35" s="111"/>
    </row>
    <row r="36" spans="1:13" s="110" customFormat="1" ht="13.5" customHeight="1">
      <c r="A36" s="645" t="s">
        <v>290</v>
      </c>
      <c r="B36" s="646"/>
      <c r="C36" s="646"/>
      <c r="D36" s="646"/>
      <c r="E36" s="646"/>
      <c r="F36" s="646"/>
      <c r="G36" s="647"/>
      <c r="L36" s="111"/>
      <c r="M36" s="111"/>
    </row>
    <row r="37" spans="1:13" s="110" customFormat="1" ht="13.5" customHeight="1">
      <c r="A37" s="645"/>
      <c r="B37" s="646"/>
      <c r="C37" s="646"/>
      <c r="D37" s="646"/>
      <c r="E37" s="646"/>
      <c r="F37" s="646"/>
      <c r="G37" s="647"/>
      <c r="L37" s="111"/>
      <c r="M37" s="111"/>
    </row>
    <row r="38" spans="1:13" s="110" customFormat="1" ht="13.5" customHeight="1">
      <c r="A38" s="645"/>
      <c r="B38" s="646"/>
      <c r="C38" s="646"/>
      <c r="D38" s="646"/>
      <c r="E38" s="646"/>
      <c r="F38" s="646"/>
      <c r="G38" s="647"/>
      <c r="L38" s="111"/>
      <c r="M38" s="111"/>
    </row>
    <row r="39" spans="1:13" s="111" customFormat="1" ht="13.5" customHeight="1">
      <c r="A39" s="645"/>
      <c r="B39" s="646"/>
      <c r="C39" s="646"/>
      <c r="D39" s="646"/>
      <c r="E39" s="646"/>
      <c r="F39" s="646"/>
      <c r="G39" s="647"/>
      <c r="H39" s="110"/>
      <c r="I39" s="110"/>
      <c r="J39" s="110"/>
      <c r="K39" s="110"/>
    </row>
    <row r="40" spans="1:13" s="110" customFormat="1" ht="21" customHeight="1">
      <c r="A40" s="608" t="s">
        <v>402</v>
      </c>
      <c r="B40" s="609"/>
      <c r="C40" s="609"/>
      <c r="D40" s="609"/>
      <c r="E40" s="609"/>
      <c r="F40" s="609"/>
      <c r="G40" s="610"/>
      <c r="L40" s="111"/>
      <c r="M40" s="111"/>
    </row>
    <row r="41" spans="1:13" s="110" customFormat="1" ht="13.5" customHeight="1">
      <c r="A41" s="645"/>
      <c r="B41" s="646"/>
      <c r="C41" s="646"/>
      <c r="D41" s="646"/>
      <c r="E41" s="646"/>
      <c r="F41" s="646"/>
      <c r="G41" s="647"/>
      <c r="L41" s="111"/>
      <c r="M41" s="111"/>
    </row>
    <row r="42" spans="1:13" s="111" customFormat="1" ht="13.5" customHeight="1">
      <c r="A42" s="645"/>
      <c r="B42" s="646"/>
      <c r="C42" s="646"/>
      <c r="D42" s="646"/>
      <c r="E42" s="646"/>
      <c r="F42" s="646"/>
      <c r="G42" s="647"/>
      <c r="H42" s="110"/>
      <c r="I42" s="110"/>
      <c r="J42" s="110"/>
      <c r="K42" s="110"/>
    </row>
    <row r="43" spans="1:13" s="110" customFormat="1" ht="13.5" customHeight="1">
      <c r="A43" s="645"/>
      <c r="B43" s="646"/>
      <c r="C43" s="646"/>
      <c r="D43" s="646"/>
      <c r="E43" s="646"/>
      <c r="F43" s="646"/>
      <c r="G43" s="647"/>
      <c r="L43" s="111"/>
      <c r="M43" s="111"/>
    </row>
    <row r="44" spans="1:13" s="110" customFormat="1" ht="13.5" customHeight="1">
      <c r="A44" s="645"/>
      <c r="B44" s="646"/>
      <c r="C44" s="646"/>
      <c r="D44" s="646"/>
      <c r="E44" s="646"/>
      <c r="F44" s="646"/>
      <c r="G44" s="647"/>
      <c r="L44" s="111"/>
      <c r="M44" s="111"/>
    </row>
    <row r="45" spans="1:13" s="110" customFormat="1" ht="13.5" customHeight="1">
      <c r="A45" s="645"/>
      <c r="B45" s="646"/>
      <c r="C45" s="646"/>
      <c r="D45" s="646"/>
      <c r="E45" s="646"/>
      <c r="F45" s="646"/>
      <c r="G45" s="647"/>
      <c r="L45" s="111"/>
      <c r="M45" s="111"/>
    </row>
    <row r="46" spans="1:13" s="281" customFormat="1" ht="13.5" customHeight="1">
      <c r="A46" s="645"/>
      <c r="B46" s="646"/>
      <c r="C46" s="646"/>
      <c r="D46" s="646"/>
      <c r="E46" s="646"/>
      <c r="F46" s="646"/>
      <c r="G46" s="647"/>
      <c r="L46" s="282"/>
      <c r="M46" s="282"/>
    </row>
    <row r="47" spans="1:13" s="281" customFormat="1" ht="13.5" customHeight="1">
      <c r="A47" s="645"/>
      <c r="B47" s="646"/>
      <c r="C47" s="646"/>
      <c r="D47" s="646"/>
      <c r="E47" s="646"/>
      <c r="F47" s="646"/>
      <c r="G47" s="647"/>
      <c r="L47" s="282"/>
      <c r="M47" s="282"/>
    </row>
    <row r="48" spans="1:13" s="281" customFormat="1" ht="13.5" customHeight="1">
      <c r="A48" s="645"/>
      <c r="B48" s="646"/>
      <c r="C48" s="646"/>
      <c r="D48" s="646"/>
      <c r="E48" s="646"/>
      <c r="F48" s="646"/>
      <c r="G48" s="647"/>
      <c r="L48" s="282"/>
      <c r="M48" s="282"/>
    </row>
    <row r="49" spans="1:13" s="110" customFormat="1" ht="13.5" customHeight="1">
      <c r="A49" s="645"/>
      <c r="B49" s="646"/>
      <c r="C49" s="646"/>
      <c r="D49" s="646"/>
      <c r="E49" s="646"/>
      <c r="F49" s="646"/>
      <c r="G49" s="647"/>
      <c r="L49" s="111"/>
      <c r="M49" s="111"/>
    </row>
    <row r="50" spans="1:13" s="110" customFormat="1" ht="13.5" customHeight="1">
      <c r="A50" s="645"/>
      <c r="B50" s="646"/>
      <c r="C50" s="646"/>
      <c r="D50" s="646"/>
      <c r="E50" s="646"/>
      <c r="F50" s="646"/>
      <c r="G50" s="647"/>
      <c r="L50" s="111"/>
      <c r="M50" s="111"/>
    </row>
    <row r="51" spans="1:13" s="110" customFormat="1" ht="13.5" customHeight="1">
      <c r="A51" s="645"/>
      <c r="B51" s="646"/>
      <c r="C51" s="646"/>
      <c r="D51" s="646"/>
      <c r="E51" s="646"/>
      <c r="F51" s="646"/>
      <c r="G51" s="647"/>
      <c r="L51" s="111"/>
      <c r="M51" s="111"/>
    </row>
    <row r="52" spans="1:13" s="110" customFormat="1" ht="13.5" customHeight="1">
      <c r="A52" s="645"/>
      <c r="B52" s="646"/>
      <c r="C52" s="646"/>
      <c r="D52" s="646"/>
      <c r="E52" s="646"/>
      <c r="F52" s="646"/>
      <c r="G52" s="647"/>
      <c r="L52" s="111"/>
      <c r="M52" s="111"/>
    </row>
    <row r="53" spans="1:13" s="110" customFormat="1" ht="13.5" customHeight="1">
      <c r="A53" s="645"/>
      <c r="B53" s="646"/>
      <c r="C53" s="646"/>
      <c r="D53" s="646"/>
      <c r="E53" s="646"/>
      <c r="F53" s="646"/>
      <c r="G53" s="647"/>
      <c r="L53" s="111"/>
      <c r="M53" s="111"/>
    </row>
    <row r="54" spans="1:13" s="110" customFormat="1" ht="13.5" customHeight="1">
      <c r="A54" s="645"/>
      <c r="B54" s="646"/>
      <c r="C54" s="646"/>
      <c r="D54" s="646"/>
      <c r="E54" s="646"/>
      <c r="F54" s="646"/>
      <c r="G54" s="647"/>
      <c r="L54" s="111"/>
      <c r="M54" s="111"/>
    </row>
    <row r="55" spans="1:13" s="110" customFormat="1" ht="13.5" customHeight="1">
      <c r="A55" s="645"/>
      <c r="B55" s="646"/>
      <c r="C55" s="646"/>
      <c r="D55" s="646"/>
      <c r="E55" s="646"/>
      <c r="F55" s="646"/>
      <c r="G55" s="647"/>
      <c r="L55" s="111"/>
      <c r="M55" s="111"/>
    </row>
    <row r="56" spans="1:13" s="110" customFormat="1" ht="13.5" customHeight="1">
      <c r="A56" s="645"/>
      <c r="B56" s="646"/>
      <c r="C56" s="646"/>
      <c r="D56" s="646"/>
      <c r="E56" s="646"/>
      <c r="F56" s="646"/>
      <c r="G56" s="647"/>
      <c r="L56" s="111"/>
      <c r="M56" s="111"/>
    </row>
    <row r="57" spans="1:13" s="110" customFormat="1" ht="13.5" customHeight="1">
      <c r="A57" s="645"/>
      <c r="B57" s="646"/>
      <c r="C57" s="646"/>
      <c r="D57" s="646"/>
      <c r="E57" s="646"/>
      <c r="F57" s="646"/>
      <c r="G57" s="647"/>
      <c r="L57" s="111"/>
      <c r="M57" s="111"/>
    </row>
    <row r="58" spans="1:13" s="111" customFormat="1" ht="13.5" customHeight="1">
      <c r="A58" s="645"/>
      <c r="B58" s="646"/>
      <c r="C58" s="646"/>
      <c r="D58" s="646"/>
      <c r="E58" s="646"/>
      <c r="F58" s="646"/>
      <c r="G58" s="647"/>
      <c r="H58" s="110"/>
      <c r="I58" s="110"/>
      <c r="J58" s="110"/>
      <c r="K58" s="110"/>
    </row>
    <row r="59" spans="1:13" s="88" customFormat="1" ht="21">
      <c r="A59" s="189" t="s">
        <v>32</v>
      </c>
      <c r="B59" s="190">
        <f>$B$1</f>
        <v>4</v>
      </c>
      <c r="C59" s="191" t="s">
        <v>39</v>
      </c>
      <c r="D59" s="192" t="str">
        <f>$E$1</f>
        <v>儀式</v>
      </c>
      <c r="E59" s="804" t="str">
        <f>$B$2</f>
        <v>ハンド・オヴ・フェイト</v>
      </c>
      <c r="F59" s="805"/>
      <c r="G59" s="806"/>
      <c r="L59" s="133"/>
      <c r="M59" s="133"/>
    </row>
  </sheetData>
  <mergeCells count="65">
    <mergeCell ref="H4:L4"/>
    <mergeCell ref="A46:G46"/>
    <mergeCell ref="A47:G47"/>
    <mergeCell ref="A48:G48"/>
    <mergeCell ref="A40:G40"/>
    <mergeCell ref="B11:G11"/>
    <mergeCell ref="B7:D7"/>
    <mergeCell ref="B8:G8"/>
    <mergeCell ref="B9:G9"/>
    <mergeCell ref="B10:G10"/>
    <mergeCell ref="F7:G7"/>
    <mergeCell ref="J9:K9"/>
    <mergeCell ref="A36:G36"/>
    <mergeCell ref="B12:G12"/>
    <mergeCell ref="J11:K11"/>
    <mergeCell ref="B13:G13"/>
    <mergeCell ref="B1:C1"/>
    <mergeCell ref="F1:G1"/>
    <mergeCell ref="B2:G2"/>
    <mergeCell ref="B4:G4"/>
    <mergeCell ref="B6:D6"/>
    <mergeCell ref="B5:D5"/>
    <mergeCell ref="F6:G6"/>
    <mergeCell ref="F5:G5"/>
    <mergeCell ref="B14:G14"/>
    <mergeCell ref="B15:G15"/>
    <mergeCell ref="B30:G30"/>
    <mergeCell ref="B28:G28"/>
    <mergeCell ref="B29:G29"/>
    <mergeCell ref="B24:G24"/>
    <mergeCell ref="B23:G23"/>
    <mergeCell ref="B25:G25"/>
    <mergeCell ref="B26:G26"/>
    <mergeCell ref="B27:G27"/>
    <mergeCell ref="B16:G16"/>
    <mergeCell ref="B22:G22"/>
    <mergeCell ref="B17:G17"/>
    <mergeCell ref="B18:G18"/>
    <mergeCell ref="B19:G19"/>
    <mergeCell ref="B20:G20"/>
    <mergeCell ref="E59:G59"/>
    <mergeCell ref="A42:G42"/>
    <mergeCell ref="B31:G31"/>
    <mergeCell ref="B32:G32"/>
    <mergeCell ref="A33:G33"/>
    <mergeCell ref="A34:G34"/>
    <mergeCell ref="A35:G35"/>
    <mergeCell ref="A37:G37"/>
    <mergeCell ref="A38:G38"/>
    <mergeCell ref="A39:G39"/>
    <mergeCell ref="A41:G41"/>
    <mergeCell ref="A51:G51"/>
    <mergeCell ref="A52:G52"/>
    <mergeCell ref="A53:G53"/>
    <mergeCell ref="A54:G54"/>
    <mergeCell ref="A43:G43"/>
    <mergeCell ref="B21:G21"/>
    <mergeCell ref="A55:G55"/>
    <mergeCell ref="A56:G56"/>
    <mergeCell ref="A57:G57"/>
    <mergeCell ref="A58:G58"/>
    <mergeCell ref="A44:G44"/>
    <mergeCell ref="A45:G45"/>
    <mergeCell ref="A49:G49"/>
    <mergeCell ref="A50:G50"/>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基本!$A$5:$A$10</xm:f>
          </x14:formula1>
          <xm:sqref>I10 I8 K15</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I7</xm:sqref>
        </x14:dataValidation>
        <x14:dataValidation type="list" allowBlank="1" showInputMessage="1" showErrorMessage="1">
          <x14:formula1>
            <xm:f>基本!$B$27:$B$31</xm:f>
          </x14:formula1>
          <xm:sqref>I6</xm:sqref>
        </x14:dataValidation>
        <x14:dataValidation type="list" allowBlank="1" showInputMessage="1" showErrorMessage="1">
          <x14:formula1>
            <xm:f>基本!$A$27:$A$33</xm:f>
          </x14:formula1>
          <xm:sqref>I5</xm:sqref>
        </x14:dataValidation>
        <x14:dataValidation type="list" allowBlank="1" showInputMessage="1" showErrorMessage="1">
          <x14:formula1>
            <xm:f>基本!$A$16:$A$19</xm:f>
          </x14:formula1>
          <xm:sqref>K8</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M56"/>
  <sheetViews>
    <sheetView zoomScaleNormal="100" workbookViewId="0">
      <selection activeCell="A31" sqref="A31:G32"/>
    </sheetView>
  </sheetViews>
  <sheetFormatPr defaultRowHeight="13.5"/>
  <cols>
    <col min="1" max="1" width="7.875" style="133" customWidth="1"/>
    <col min="2" max="2" width="8.5" style="133" customWidth="1"/>
    <col min="3" max="3" width="6.625" style="133" customWidth="1"/>
    <col min="4" max="4" width="15.75" style="133" customWidth="1"/>
    <col min="5" max="6" width="15.75" style="88" customWidth="1"/>
    <col min="7" max="7" width="18.25" style="88" customWidth="1"/>
    <col min="8" max="8" width="17.375" style="88" customWidth="1"/>
    <col min="9" max="9" width="14.625" style="88" customWidth="1"/>
    <col min="10" max="10" width="8.375" style="88" customWidth="1"/>
    <col min="11" max="11" width="7.5" style="88" customWidth="1"/>
    <col min="12" max="13" width="7.875" style="133" customWidth="1"/>
    <col min="14" max="14" width="9.25" style="133" customWidth="1"/>
    <col min="15" max="15" width="12.375" style="133" customWidth="1"/>
    <col min="16" max="16384" width="9" style="133"/>
  </cols>
  <sheetData>
    <row r="1" spans="1:13" ht="21">
      <c r="A1" s="186" t="s">
        <v>32</v>
      </c>
      <c r="B1" s="807">
        <v>6</v>
      </c>
      <c r="C1" s="808"/>
      <c r="D1" s="187" t="s">
        <v>39</v>
      </c>
      <c r="E1" s="188" t="s">
        <v>236</v>
      </c>
      <c r="F1" s="809"/>
      <c r="G1" s="810"/>
      <c r="H1" s="93" t="s">
        <v>54</v>
      </c>
    </row>
    <row r="2" spans="1:13" ht="24.75" customHeight="1">
      <c r="A2" s="187" t="s">
        <v>0</v>
      </c>
      <c r="B2" s="811" t="s">
        <v>265</v>
      </c>
      <c r="C2" s="811"/>
      <c r="D2" s="811"/>
      <c r="E2" s="811"/>
      <c r="F2" s="811"/>
      <c r="G2" s="811"/>
      <c r="H2" s="93" t="s">
        <v>55</v>
      </c>
    </row>
    <row r="3" spans="1:13" ht="19.5" customHeight="1">
      <c r="A3" s="99" t="s">
        <v>47</v>
      </c>
      <c r="B3" s="88"/>
      <c r="C3" s="88"/>
      <c r="D3" s="88"/>
      <c r="I3" s="93"/>
    </row>
    <row r="4" spans="1:13">
      <c r="A4" s="72" t="s">
        <v>45</v>
      </c>
      <c r="B4" s="628" t="s">
        <v>266</v>
      </c>
      <c r="C4" s="629"/>
      <c r="D4" s="629"/>
      <c r="E4" s="629"/>
      <c r="F4" s="629"/>
      <c r="G4" s="630"/>
      <c r="H4" s="539" t="s">
        <v>339</v>
      </c>
      <c r="I4" s="540"/>
      <c r="J4" s="540"/>
      <c r="K4" s="540"/>
      <c r="L4" s="541"/>
    </row>
    <row r="5" spans="1:13">
      <c r="A5" s="123" t="s">
        <v>238</v>
      </c>
      <c r="B5" s="709" t="s">
        <v>267</v>
      </c>
      <c r="C5" s="710"/>
      <c r="D5" s="711"/>
      <c r="E5" s="182" t="s">
        <v>243</v>
      </c>
      <c r="F5" s="628" t="s">
        <v>271</v>
      </c>
      <c r="G5" s="630"/>
      <c r="H5" s="182" t="s">
        <v>42</v>
      </c>
      <c r="I5" s="184" t="s">
        <v>70</v>
      </c>
      <c r="J5" s="193" t="s">
        <v>274</v>
      </c>
    </row>
    <row r="6" spans="1:13">
      <c r="A6" s="123" t="s">
        <v>239</v>
      </c>
      <c r="B6" s="709" t="s">
        <v>268</v>
      </c>
      <c r="C6" s="710"/>
      <c r="D6" s="711"/>
      <c r="E6" s="182" t="s">
        <v>242</v>
      </c>
      <c r="F6" s="628" t="s">
        <v>270</v>
      </c>
      <c r="G6" s="630"/>
      <c r="H6" s="182" t="s">
        <v>65</v>
      </c>
      <c r="I6" s="184"/>
      <c r="J6" s="184"/>
    </row>
    <row r="7" spans="1:13">
      <c r="A7" s="123" t="s">
        <v>240</v>
      </c>
      <c r="B7" s="628" t="s">
        <v>269</v>
      </c>
      <c r="C7" s="629"/>
      <c r="D7" s="630"/>
      <c r="E7" s="182" t="s">
        <v>241</v>
      </c>
      <c r="F7" s="628" t="s">
        <v>246</v>
      </c>
      <c r="G7" s="630"/>
      <c r="H7" s="182" t="s">
        <v>84</v>
      </c>
      <c r="I7" s="184" t="s">
        <v>112</v>
      </c>
      <c r="J7" s="93" t="s">
        <v>61</v>
      </c>
      <c r="L7" s="230" t="s">
        <v>343</v>
      </c>
    </row>
    <row r="8" spans="1:13" ht="13.5" customHeight="1">
      <c r="A8" s="76" t="s">
        <v>273</v>
      </c>
      <c r="B8" s="642" t="s">
        <v>272</v>
      </c>
      <c r="C8" s="643"/>
      <c r="D8" s="643"/>
      <c r="E8" s="643"/>
      <c r="F8" s="643"/>
      <c r="G8" s="644"/>
      <c r="H8" s="182" t="s">
        <v>50</v>
      </c>
      <c r="I8" s="184" t="s">
        <v>139</v>
      </c>
      <c r="J8" s="183">
        <f>IF($I$8 = "筋力",基本!$C$5,IF($I$8 = "耐久力",基本!$C$6,IF($I$8 = "敏捷力",基本!$C$7,IF($I$8 = "知力",基本!$C$8,IF($I$8 = "判断力",基本!$C$9,IF($I$8 = "判断力",基本!$C$10,""))))))</f>
        <v>7</v>
      </c>
      <c r="K8" s="184" t="s">
        <v>20</v>
      </c>
      <c r="L8" s="229">
        <f>$J$8+$L$9+$I$9</f>
        <v>21</v>
      </c>
    </row>
    <row r="9" spans="1:13" ht="13.5" customHeight="1">
      <c r="A9" s="77"/>
      <c r="B9" s="821"/>
      <c r="C9" s="652"/>
      <c r="D9" s="652"/>
      <c r="E9" s="652"/>
      <c r="F9" s="652"/>
      <c r="G9" s="712"/>
      <c r="H9" s="182" t="s">
        <v>57</v>
      </c>
      <c r="I9" s="184">
        <v>14</v>
      </c>
      <c r="J9" s="539" t="s">
        <v>52</v>
      </c>
      <c r="K9" s="541"/>
      <c r="L9" s="183">
        <f>IF($I$7=基本!$F$4,基本!$P$7,IF($I$7=基本!$F$13,基本!$P$16,IF($I$7=基本!$F$22,基本!$P$25,IF($I$7=基本!$F$31,基本!$P$34,IF($I$7=基本!$F$40,基本!$P$43,0)))))</f>
        <v>0</v>
      </c>
    </row>
    <row r="10" spans="1:13" ht="13.5" customHeight="1">
      <c r="A10" s="76" t="s">
        <v>64</v>
      </c>
      <c r="B10" s="675" t="s">
        <v>275</v>
      </c>
      <c r="C10" s="646"/>
      <c r="D10" s="646"/>
      <c r="E10" s="646"/>
      <c r="F10" s="646"/>
      <c r="G10" s="647"/>
      <c r="H10" s="181" t="s">
        <v>51</v>
      </c>
      <c r="I10" s="184" t="s">
        <v>139</v>
      </c>
      <c r="J10" s="97">
        <f>IF($I$8 = "筋力",基本!$C$5,IF($I$10 = "耐久力",基本!$C$6,IF($I$10 = "敏捷力",基本!$C$7,IF($I$10 = "知力",基本!$C$8,IF($I$10 = "判断力",基本!$C$9,IF($I$10 = "判断力",基本!$C$10,""))))))</f>
        <v>7</v>
      </c>
      <c r="L10" s="88"/>
    </row>
    <row r="11" spans="1:13" ht="13.5" customHeight="1">
      <c r="A11" s="73" t="s">
        <v>7</v>
      </c>
      <c r="B11" s="628" t="s">
        <v>126</v>
      </c>
      <c r="C11" s="629"/>
      <c r="D11" s="630"/>
      <c r="E11" s="182" t="s">
        <v>42</v>
      </c>
      <c r="F11" s="183" t="str">
        <f>IF($I$5 = 0,"", $I$5)</f>
        <v>遠隔</v>
      </c>
      <c r="G11" s="183" t="str">
        <f>IF($J$5 = 0,"", $J$5)</f>
        <v>3/6</v>
      </c>
      <c r="H11" s="182" t="s">
        <v>58</v>
      </c>
      <c r="I11" s="184">
        <v>0</v>
      </c>
      <c r="J11" s="539" t="s">
        <v>53</v>
      </c>
      <c r="K11" s="541"/>
      <c r="L11" s="183">
        <f>IF($I$7=基本!$F$4,基本!$P$9,IF($I$7=基本!$F$13,基本!$P$18,IF($I$7=基本!$F$22,基本!$P$27,IF($I$7=基本!$F$31,基本!$P$36,IF($I$7=基本!$F$40,基本!$P$45,0)))))</f>
        <v>0</v>
      </c>
    </row>
    <row r="12" spans="1:13">
      <c r="A12" s="123" t="s">
        <v>6</v>
      </c>
      <c r="B12" s="760" t="s">
        <v>277</v>
      </c>
      <c r="C12" s="761"/>
      <c r="D12" s="762"/>
      <c r="E12" s="182" t="s">
        <v>65</v>
      </c>
      <c r="F12" s="183" t="str">
        <f>IF($I$6 = 0,"", $I$6)</f>
        <v/>
      </c>
      <c r="G12" s="183" t="str">
        <f>IF($J$6 = 0,"", $J$6)</f>
        <v/>
      </c>
      <c r="H12" s="110"/>
      <c r="I12" s="110"/>
      <c r="J12" s="133"/>
      <c r="K12" s="133"/>
      <c r="L12" s="230" t="s">
        <v>343</v>
      </c>
    </row>
    <row r="13" spans="1:13" ht="13.5" customHeight="1">
      <c r="A13" s="74" t="s">
        <v>8</v>
      </c>
      <c r="B13" s="820" t="s">
        <v>276</v>
      </c>
      <c r="C13" s="629"/>
      <c r="D13" s="629"/>
      <c r="E13" s="629"/>
      <c r="F13" s="629"/>
      <c r="G13" s="630"/>
      <c r="H13" s="219" t="s">
        <v>85</v>
      </c>
      <c r="I13" s="184">
        <v>2</v>
      </c>
      <c r="J13" s="182" t="s">
        <v>43</v>
      </c>
      <c r="K13" s="184">
        <v>10</v>
      </c>
      <c r="L13" s="229">
        <f>$J$10+$L$11+$I$11</f>
        <v>7</v>
      </c>
      <c r="M13" s="111"/>
    </row>
    <row r="14" spans="1:13" ht="13.5" customHeight="1">
      <c r="A14" s="76" t="s">
        <v>9</v>
      </c>
      <c r="B14" s="645" t="s">
        <v>278</v>
      </c>
      <c r="C14" s="646"/>
      <c r="D14" s="646"/>
      <c r="E14" s="646"/>
      <c r="F14" s="646"/>
      <c r="G14" s="647"/>
      <c r="H14" s="182" t="s">
        <v>49</v>
      </c>
      <c r="I14" s="32">
        <f>IF($I$7=基本!$F$4,基本!$L$11,IF($I$7=基本!$F$13,基本!$L$20,IF($I$7=基本!$F$22,基本!$L$29,IF($I$7=基本!$F$31,基本!$L$38,IF($I$7=基本!$F$40,基本!$L$47,0)))))</f>
        <v>5</v>
      </c>
      <c r="J14" s="219" t="s">
        <v>341</v>
      </c>
      <c r="K14" s="32">
        <f>IF($I$7=基本!$F$4,基本!$N$11,IF($I$7=基本!$F$13,基本!$N$20,IF($I$7=基本!$F$22,基本!$N$29,IF($I$7=基本!$F$31,基本!$N$38,IF($I$7=基本!$F$40,基本!$N$47,0)))))</f>
        <v>12</v>
      </c>
      <c r="L14" s="229">
        <f>$J$10+$L$11+$I$11+($I$13*$K$13)</f>
        <v>27</v>
      </c>
      <c r="M14" s="111"/>
    </row>
    <row r="15" spans="1:13" ht="13.5" customHeight="1">
      <c r="A15" s="76"/>
      <c r="B15" s="645" t="s">
        <v>279</v>
      </c>
      <c r="C15" s="646"/>
      <c r="D15" s="646"/>
      <c r="E15" s="646"/>
      <c r="F15" s="646"/>
      <c r="G15" s="647"/>
      <c r="H15" s="182" t="s">
        <v>59</v>
      </c>
      <c r="I15" s="184" t="s">
        <v>73</v>
      </c>
      <c r="J15" s="219" t="s">
        <v>342</v>
      </c>
      <c r="K15" s="220" t="s">
        <v>15</v>
      </c>
      <c r="L15" s="218">
        <f>IF(K15="",0,VLOOKUP(K15,基本!$A$5:'基本'!$C$10,3,FALSE))</f>
        <v>3</v>
      </c>
      <c r="M15" s="111"/>
    </row>
    <row r="16" spans="1:13" ht="13.5" customHeight="1">
      <c r="A16" s="76"/>
      <c r="B16" s="645"/>
      <c r="C16" s="646"/>
      <c r="D16" s="646"/>
      <c r="E16" s="646"/>
      <c r="F16" s="646"/>
      <c r="G16" s="647"/>
    </row>
    <row r="17" spans="1:13" ht="13.5" customHeight="1">
      <c r="A17" s="76"/>
      <c r="B17" s="645"/>
      <c r="C17" s="646"/>
      <c r="D17" s="646"/>
      <c r="E17" s="646"/>
      <c r="F17" s="646"/>
      <c r="G17" s="647"/>
      <c r="J17" s="133"/>
      <c r="K17" s="133"/>
    </row>
    <row r="18" spans="1:13" ht="13.5" customHeight="1">
      <c r="A18" s="76"/>
      <c r="B18" s="645"/>
      <c r="C18" s="646"/>
      <c r="D18" s="646"/>
      <c r="E18" s="646"/>
      <c r="F18" s="646"/>
      <c r="G18" s="647"/>
    </row>
    <row r="19" spans="1:13" ht="13.5" customHeight="1">
      <c r="A19" s="76"/>
      <c r="B19" s="645"/>
      <c r="C19" s="646"/>
      <c r="D19" s="646"/>
      <c r="E19" s="646"/>
      <c r="F19" s="646"/>
      <c r="G19" s="647"/>
      <c r="J19" s="133"/>
      <c r="K19" s="133"/>
    </row>
    <row r="20" spans="1:13" ht="13.5" customHeight="1">
      <c r="A20" s="77"/>
      <c r="B20" s="651"/>
      <c r="C20" s="652"/>
      <c r="D20" s="652"/>
      <c r="E20" s="652"/>
      <c r="F20" s="652"/>
      <c r="G20" s="712"/>
      <c r="J20" s="133"/>
      <c r="K20" s="133"/>
    </row>
    <row r="21" spans="1:13" ht="14.25" thickBot="1">
      <c r="A21" s="125" t="s">
        <v>46</v>
      </c>
      <c r="E21" s="89"/>
      <c r="H21" s="133"/>
      <c r="I21" s="133"/>
      <c r="J21" s="133"/>
      <c r="K21" s="133"/>
    </row>
    <row r="22" spans="1:13" s="287" customFormat="1" ht="15" customHeight="1">
      <c r="A22" s="812" t="str">
        <f>$B$2</f>
        <v>クリエイト・ホーリー・ウォーター</v>
      </c>
      <c r="B22" s="813"/>
      <c r="C22" s="814"/>
      <c r="D22" s="662" t="s">
        <v>2</v>
      </c>
      <c r="E22" s="663"/>
      <c r="F22" s="664" t="s">
        <v>479</v>
      </c>
      <c r="G22" s="665"/>
    </row>
    <row r="23" spans="1:13" s="287" customFormat="1" ht="18.75" customHeight="1" thickBot="1">
      <c r="A23" s="815"/>
      <c r="B23" s="816"/>
      <c r="C23" s="817"/>
      <c r="D23" s="312" t="s">
        <v>2</v>
      </c>
      <c r="E23" s="313" t="s">
        <v>1</v>
      </c>
      <c r="F23" s="312" t="s">
        <v>2</v>
      </c>
      <c r="G23" s="314" t="s">
        <v>1</v>
      </c>
    </row>
    <row r="24" spans="1:13" s="287" customFormat="1" ht="24" customHeight="1">
      <c r="A24" s="611" t="s">
        <v>41</v>
      </c>
      <c r="B24" s="315" t="s">
        <v>113</v>
      </c>
      <c r="C24" s="666" t="str">
        <f>$K$8</f>
        <v>反応</v>
      </c>
      <c r="D24" s="316" t="str">
        <f>$I$9 &amp; "+1d20"</f>
        <v>14+1d20</v>
      </c>
      <c r="E24" s="317" t="str">
        <f>$I$9+2 &amp; "+1d20"</f>
        <v>16+1d20</v>
      </c>
      <c r="F24" s="316" t="str">
        <f>$I$9 &amp; "+1d20"</f>
        <v>14+1d20</v>
      </c>
      <c r="G24" s="318" t="str">
        <f>$I$9+2 &amp; "+1d20"</f>
        <v>16+1d20</v>
      </c>
    </row>
    <row r="25" spans="1:13" s="287" customFormat="1" ht="24" customHeight="1" thickBot="1">
      <c r="A25" s="613"/>
      <c r="B25" s="365" t="s">
        <v>476</v>
      </c>
      <c r="C25" s="668"/>
      <c r="D25" s="319" t="str">
        <f>3+$I$9 &amp; "+1d20"</f>
        <v>17+1d20</v>
      </c>
      <c r="E25" s="320" t="str">
        <f>3+$I$9+2 &amp; "+1d20"</f>
        <v>19+1d20</v>
      </c>
      <c r="F25" s="319" t="str">
        <f>3+$I$9 &amp; "+1d20"</f>
        <v>17+1d20</v>
      </c>
      <c r="G25" s="321" t="str">
        <f>3+$I$9+2 &amp; "+1d20"</f>
        <v>19+1d20</v>
      </c>
    </row>
    <row r="26" spans="1:13" s="287" customFormat="1" ht="23.25" customHeight="1">
      <c r="A26" s="818" t="s">
        <v>113</v>
      </c>
      <c r="B26" s="257" t="s">
        <v>4</v>
      </c>
      <c r="C26" s="267" t="str">
        <f>IF($I$15 = 0,"", $I$15)</f>
        <v>光輝</v>
      </c>
      <c r="D26" s="277" t="str">
        <f xml:space="preserve"> $I$13 &amp; "d" &amp; $K$13</f>
        <v>2d10</v>
      </c>
      <c r="E26" s="322" t="str">
        <f xml:space="preserve"> $I$13 &amp; "d" &amp; $K$13</f>
        <v>2d10</v>
      </c>
      <c r="F26" s="277" t="str">
        <f>"3+"&amp; $I$13 &amp; "d" &amp; $K$13</f>
        <v>3+2d10</v>
      </c>
      <c r="G26" s="278" t="str">
        <f>"3+"&amp; $I$13 &amp; "d" &amp; $K$13</f>
        <v>3+2d10</v>
      </c>
    </row>
    <row r="27" spans="1:13" s="287" customFormat="1" ht="23.25" customHeight="1" thickBot="1">
      <c r="A27" s="819"/>
      <c r="B27" s="247" t="s">
        <v>3</v>
      </c>
      <c r="C27" s="258" t="str">
        <f>IF($I$15 = 0,"", $I$15)</f>
        <v>光輝</v>
      </c>
      <c r="D27" s="276">
        <f xml:space="preserve"> $I$13*$K$13</f>
        <v>20</v>
      </c>
      <c r="E27" s="323">
        <f xml:space="preserve"> $I$13*$K$13</f>
        <v>20</v>
      </c>
      <c r="F27" s="276">
        <f>3+$I$13*$K$13</f>
        <v>23</v>
      </c>
      <c r="G27" s="275">
        <f>3+$I$13*$K$13</f>
        <v>23</v>
      </c>
    </row>
    <row r="28" spans="1:13">
      <c r="A28" s="717"/>
      <c r="B28" s="717"/>
      <c r="C28" s="717"/>
      <c r="D28" s="717"/>
      <c r="E28" s="717"/>
      <c r="F28" s="717"/>
      <c r="G28" s="717"/>
    </row>
    <row r="29" spans="1:13" ht="13.5" customHeight="1">
      <c r="A29" s="619" t="s">
        <v>48</v>
      </c>
      <c r="B29" s="620"/>
      <c r="C29" s="620"/>
      <c r="D29" s="620"/>
      <c r="E29" s="620"/>
      <c r="F29" s="620"/>
      <c r="G29" s="621"/>
    </row>
    <row r="30" spans="1:13" s="110" customFormat="1" ht="13.5" customHeight="1">
      <c r="A30" s="719"/>
      <c r="B30" s="720"/>
      <c r="C30" s="720"/>
      <c r="D30" s="720"/>
      <c r="E30" s="720"/>
      <c r="F30" s="720"/>
      <c r="G30" s="721"/>
      <c r="L30" s="111"/>
      <c r="M30" s="111"/>
    </row>
    <row r="31" spans="1:13" s="110" customFormat="1" ht="13.5" customHeight="1">
      <c r="A31" s="645" t="s">
        <v>394</v>
      </c>
      <c r="B31" s="646"/>
      <c r="C31" s="646"/>
      <c r="D31" s="646"/>
      <c r="E31" s="646"/>
      <c r="F31" s="646"/>
      <c r="G31" s="647"/>
      <c r="L31" s="111"/>
      <c r="M31" s="111"/>
    </row>
    <row r="32" spans="1:13" s="110" customFormat="1" ht="13.5" customHeight="1">
      <c r="A32" s="645" t="s">
        <v>395</v>
      </c>
      <c r="B32" s="646"/>
      <c r="C32" s="646"/>
      <c r="D32" s="646"/>
      <c r="E32" s="646"/>
      <c r="F32" s="646"/>
      <c r="G32" s="647"/>
      <c r="L32" s="111"/>
      <c r="M32" s="111"/>
    </row>
    <row r="33" spans="1:13" s="110" customFormat="1" ht="13.5" customHeight="1">
      <c r="A33" s="645" t="s">
        <v>396</v>
      </c>
      <c r="B33" s="646"/>
      <c r="C33" s="646"/>
      <c r="D33" s="646"/>
      <c r="E33" s="646"/>
      <c r="F33" s="646"/>
      <c r="G33" s="647"/>
      <c r="L33" s="111"/>
      <c r="M33" s="111"/>
    </row>
    <row r="34" spans="1:13" s="111" customFormat="1" ht="13.5" customHeight="1">
      <c r="A34" s="645"/>
      <c r="B34" s="646"/>
      <c r="C34" s="646"/>
      <c r="D34" s="646"/>
      <c r="E34" s="646"/>
      <c r="F34" s="646"/>
      <c r="G34" s="647"/>
      <c r="H34" s="110"/>
      <c r="I34" s="110"/>
      <c r="J34" s="110"/>
      <c r="K34" s="110"/>
    </row>
    <row r="35" spans="1:13" s="110" customFormat="1" ht="13.5" customHeight="1">
      <c r="A35" s="645" t="s">
        <v>397</v>
      </c>
      <c r="B35" s="646"/>
      <c r="C35" s="646"/>
      <c r="D35" s="646"/>
      <c r="E35" s="646"/>
      <c r="F35" s="646"/>
      <c r="G35" s="647"/>
      <c r="L35" s="111"/>
      <c r="M35" s="111"/>
    </row>
    <row r="36" spans="1:13" s="110" customFormat="1" ht="13.5" customHeight="1">
      <c r="A36" s="645" t="s">
        <v>398</v>
      </c>
      <c r="B36" s="646"/>
      <c r="C36" s="646"/>
      <c r="D36" s="646"/>
      <c r="E36" s="646"/>
      <c r="F36" s="646"/>
      <c r="G36" s="647"/>
      <c r="L36" s="111"/>
      <c r="M36" s="111"/>
    </row>
    <row r="37" spans="1:13" s="111" customFormat="1" ht="13.5" customHeight="1">
      <c r="A37" s="645" t="s">
        <v>399</v>
      </c>
      <c r="B37" s="646"/>
      <c r="C37" s="646"/>
      <c r="D37" s="646"/>
      <c r="E37" s="646"/>
      <c r="F37" s="646"/>
      <c r="G37" s="647"/>
      <c r="H37" s="110"/>
      <c r="I37" s="110"/>
      <c r="J37" s="110"/>
      <c r="K37" s="110"/>
    </row>
    <row r="38" spans="1:13" s="110" customFormat="1" ht="13.5" customHeight="1">
      <c r="A38" s="645" t="s">
        <v>400</v>
      </c>
      <c r="B38" s="646"/>
      <c r="C38" s="646"/>
      <c r="D38" s="646"/>
      <c r="E38" s="646"/>
      <c r="F38" s="646"/>
      <c r="G38" s="647"/>
      <c r="L38" s="111"/>
      <c r="M38" s="111"/>
    </row>
    <row r="39" spans="1:13" s="281" customFormat="1" ht="13.5" customHeight="1">
      <c r="A39" s="645" t="s">
        <v>401</v>
      </c>
      <c r="B39" s="646"/>
      <c r="C39" s="646"/>
      <c r="D39" s="646"/>
      <c r="E39" s="646"/>
      <c r="F39" s="646"/>
      <c r="G39" s="647"/>
      <c r="L39" s="282"/>
      <c r="M39" s="282"/>
    </row>
    <row r="40" spans="1:13" s="281" customFormat="1" ht="13.5" customHeight="1">
      <c r="A40" s="645"/>
      <c r="B40" s="646"/>
      <c r="C40" s="646"/>
      <c r="D40" s="646"/>
      <c r="E40" s="646"/>
      <c r="F40" s="646"/>
      <c r="G40" s="647"/>
      <c r="L40" s="282"/>
      <c r="M40" s="282"/>
    </row>
    <row r="41" spans="1:13" s="281" customFormat="1" ht="13.5" customHeight="1">
      <c r="A41" s="645"/>
      <c r="B41" s="646"/>
      <c r="C41" s="646"/>
      <c r="D41" s="646"/>
      <c r="E41" s="646"/>
      <c r="F41" s="646"/>
      <c r="G41" s="647"/>
      <c r="L41" s="282"/>
      <c r="M41" s="282"/>
    </row>
    <row r="42" spans="1:13" s="281" customFormat="1" ht="13.5" customHeight="1">
      <c r="A42" s="645"/>
      <c r="B42" s="646"/>
      <c r="C42" s="646"/>
      <c r="D42" s="646"/>
      <c r="E42" s="646"/>
      <c r="F42" s="646"/>
      <c r="G42" s="647"/>
      <c r="L42" s="282"/>
      <c r="M42" s="282"/>
    </row>
    <row r="43" spans="1:13" s="281" customFormat="1" ht="13.5" customHeight="1">
      <c r="A43" s="645"/>
      <c r="B43" s="646"/>
      <c r="C43" s="646"/>
      <c r="D43" s="646"/>
      <c r="E43" s="646"/>
      <c r="F43" s="646"/>
      <c r="G43" s="647"/>
      <c r="L43" s="282"/>
      <c r="M43" s="282"/>
    </row>
    <row r="44" spans="1:13" s="281" customFormat="1" ht="13.5" customHeight="1">
      <c r="A44" s="645"/>
      <c r="B44" s="646"/>
      <c r="C44" s="646"/>
      <c r="D44" s="646"/>
      <c r="E44" s="646"/>
      <c r="F44" s="646"/>
      <c r="G44" s="647"/>
      <c r="L44" s="282"/>
      <c r="M44" s="282"/>
    </row>
    <row r="45" spans="1:13" s="110" customFormat="1" ht="13.5" customHeight="1">
      <c r="A45" s="645"/>
      <c r="B45" s="646"/>
      <c r="C45" s="646"/>
      <c r="D45" s="646"/>
      <c r="E45" s="646"/>
      <c r="F45" s="646"/>
      <c r="G45" s="647"/>
      <c r="L45" s="111"/>
      <c r="M45" s="111"/>
    </row>
    <row r="46" spans="1:13" s="281" customFormat="1" ht="13.5" customHeight="1">
      <c r="A46" s="645"/>
      <c r="B46" s="646"/>
      <c r="C46" s="646"/>
      <c r="D46" s="646"/>
      <c r="E46" s="646"/>
      <c r="F46" s="646"/>
      <c r="G46" s="647"/>
      <c r="L46" s="282"/>
      <c r="M46" s="282"/>
    </row>
    <row r="47" spans="1:13" s="281" customFormat="1" ht="13.5" customHeight="1">
      <c r="A47" s="645"/>
      <c r="B47" s="646"/>
      <c r="C47" s="646"/>
      <c r="D47" s="646"/>
      <c r="E47" s="646"/>
      <c r="F47" s="646"/>
      <c r="G47" s="647"/>
      <c r="L47" s="282"/>
      <c r="M47" s="282"/>
    </row>
    <row r="48" spans="1:13" s="281" customFormat="1" ht="13.5" customHeight="1">
      <c r="A48" s="645"/>
      <c r="B48" s="646"/>
      <c r="C48" s="646"/>
      <c r="D48" s="646"/>
      <c r="E48" s="646"/>
      <c r="F48" s="646"/>
      <c r="G48" s="647"/>
      <c r="L48" s="282"/>
      <c r="M48" s="282"/>
    </row>
    <row r="49" spans="1:13" s="110" customFormat="1" ht="13.5" customHeight="1">
      <c r="A49" s="645"/>
      <c r="B49" s="646"/>
      <c r="C49" s="646"/>
      <c r="D49" s="646"/>
      <c r="E49" s="646"/>
      <c r="F49" s="646"/>
      <c r="G49" s="647"/>
      <c r="L49" s="111"/>
      <c r="M49" s="111"/>
    </row>
    <row r="50" spans="1:13" s="110" customFormat="1" ht="13.5" customHeight="1">
      <c r="A50" s="645"/>
      <c r="B50" s="646"/>
      <c r="C50" s="646"/>
      <c r="D50" s="646"/>
      <c r="E50" s="646"/>
      <c r="F50" s="646"/>
      <c r="G50" s="647"/>
      <c r="L50" s="111"/>
      <c r="M50" s="111"/>
    </row>
    <row r="51" spans="1:13" s="110" customFormat="1" ht="13.5" customHeight="1">
      <c r="A51" s="645"/>
      <c r="B51" s="646"/>
      <c r="C51" s="646"/>
      <c r="D51" s="646"/>
      <c r="E51" s="646"/>
      <c r="F51" s="646"/>
      <c r="G51" s="647"/>
      <c r="L51" s="111"/>
      <c r="M51" s="111"/>
    </row>
    <row r="52" spans="1:13" s="110" customFormat="1" ht="13.5" customHeight="1">
      <c r="A52" s="645"/>
      <c r="B52" s="646"/>
      <c r="C52" s="646"/>
      <c r="D52" s="646"/>
      <c r="E52" s="646"/>
      <c r="F52" s="646"/>
      <c r="G52" s="647"/>
      <c r="L52" s="111"/>
      <c r="M52" s="111"/>
    </row>
    <row r="53" spans="1:13" s="110" customFormat="1" ht="13.5" customHeight="1">
      <c r="A53" s="645"/>
      <c r="B53" s="646"/>
      <c r="C53" s="646"/>
      <c r="D53" s="646"/>
      <c r="E53" s="646"/>
      <c r="F53" s="646"/>
      <c r="G53" s="647"/>
      <c r="L53" s="111"/>
      <c r="M53" s="111"/>
    </row>
    <row r="54" spans="1:13" s="110" customFormat="1" ht="13.5" customHeight="1">
      <c r="A54" s="645"/>
      <c r="B54" s="646"/>
      <c r="C54" s="646"/>
      <c r="D54" s="646"/>
      <c r="E54" s="646"/>
      <c r="F54" s="646"/>
      <c r="G54" s="647"/>
      <c r="L54" s="111"/>
      <c r="M54" s="111"/>
    </row>
    <row r="55" spans="1:13" s="111" customFormat="1" ht="13.5" customHeight="1">
      <c r="A55" s="645"/>
      <c r="B55" s="646"/>
      <c r="C55" s="646"/>
      <c r="D55" s="646"/>
      <c r="E55" s="646"/>
      <c r="F55" s="646"/>
      <c r="G55" s="647"/>
      <c r="H55" s="110"/>
      <c r="I55" s="110"/>
      <c r="J55" s="110"/>
      <c r="K55" s="110"/>
    </row>
    <row r="56" spans="1:13" s="88" customFormat="1" ht="21">
      <c r="A56" s="189" t="s">
        <v>32</v>
      </c>
      <c r="B56" s="190">
        <f>$B$1</f>
        <v>6</v>
      </c>
      <c r="C56" s="191" t="s">
        <v>39</v>
      </c>
      <c r="D56" s="192" t="str">
        <f>$E$1</f>
        <v>儀式</v>
      </c>
      <c r="E56" s="804" t="str">
        <f>$B$2</f>
        <v>クリエイト・ホーリー・ウォーター</v>
      </c>
      <c r="F56" s="805"/>
      <c r="G56" s="806"/>
      <c r="L56" s="133"/>
      <c r="M56" s="133"/>
    </row>
  </sheetData>
  <mergeCells count="61">
    <mergeCell ref="H4:L4"/>
    <mergeCell ref="A42:G42"/>
    <mergeCell ref="A43:G43"/>
    <mergeCell ref="A44:G44"/>
    <mergeCell ref="A40:G40"/>
    <mergeCell ref="A41:G41"/>
    <mergeCell ref="A38:G38"/>
    <mergeCell ref="A39:G39"/>
    <mergeCell ref="A33:G33"/>
    <mergeCell ref="A34:G34"/>
    <mergeCell ref="A35:G35"/>
    <mergeCell ref="A36:G36"/>
    <mergeCell ref="A37:G37"/>
    <mergeCell ref="A32:G32"/>
    <mergeCell ref="A31:G31"/>
    <mergeCell ref="B10:G10"/>
    <mergeCell ref="B1:C1"/>
    <mergeCell ref="F1:G1"/>
    <mergeCell ref="B2:G2"/>
    <mergeCell ref="B4:G4"/>
    <mergeCell ref="B5:D5"/>
    <mergeCell ref="F5:G5"/>
    <mergeCell ref="J9:K9"/>
    <mergeCell ref="J11:K11"/>
    <mergeCell ref="B13:G13"/>
    <mergeCell ref="B6:D6"/>
    <mergeCell ref="F6:G6"/>
    <mergeCell ref="B7:D7"/>
    <mergeCell ref="F7:G7"/>
    <mergeCell ref="B8:G8"/>
    <mergeCell ref="B9:G9"/>
    <mergeCell ref="B11:D11"/>
    <mergeCell ref="B12:D12"/>
    <mergeCell ref="B18:G18"/>
    <mergeCell ref="B19:G19"/>
    <mergeCell ref="B14:G14"/>
    <mergeCell ref="B15:G15"/>
    <mergeCell ref="B16:G16"/>
    <mergeCell ref="B17:G17"/>
    <mergeCell ref="B20:G20"/>
    <mergeCell ref="A28:G28"/>
    <mergeCell ref="A29:G29"/>
    <mergeCell ref="A30:G30"/>
    <mergeCell ref="A46:G46"/>
    <mergeCell ref="A45:G45"/>
    <mergeCell ref="A22:C23"/>
    <mergeCell ref="D22:E22"/>
    <mergeCell ref="F22:G22"/>
    <mergeCell ref="C24:C25"/>
    <mergeCell ref="A26:A27"/>
    <mergeCell ref="A24:A25"/>
    <mergeCell ref="A47:G47"/>
    <mergeCell ref="A48:G48"/>
    <mergeCell ref="A55:G55"/>
    <mergeCell ref="E56:G56"/>
    <mergeCell ref="A50:G50"/>
    <mergeCell ref="A51:G51"/>
    <mergeCell ref="A52:G52"/>
    <mergeCell ref="A53:G53"/>
    <mergeCell ref="A54:G54"/>
    <mergeCell ref="A49:G49"/>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基本!$A$16:$A$19</xm:f>
          </x14:formula1>
          <xm:sqref>K8</xm:sqref>
        </x14:dataValidation>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 type="list" allowBlank="1" showInputMessage="1" showErrorMessage="1">
          <x14:formula1>
            <xm:f>基本!$D$27:$D$31</xm:f>
          </x14:formula1>
          <xm:sqref>I7</xm:sqref>
        </x14:dataValidation>
        <x14:dataValidation type="list" allowBlank="1" showInputMessage="1" showErrorMessage="1">
          <x14:formula1>
            <xm:f>基本!$C$27:$C$37</xm:f>
          </x14:formula1>
          <xm:sqref>I15</xm:sqref>
        </x14:dataValidation>
        <x14:dataValidation type="list" allowBlank="1" showInputMessage="1" showErrorMessage="1">
          <x14:formula1>
            <xm:f>基本!$A$5:$A$10</xm:f>
          </x14:formula1>
          <xm:sqref>I10 I8 K15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9"/>
  <sheetViews>
    <sheetView workbookViewId="0">
      <selection activeCell="A31" sqref="A31:G32"/>
    </sheetView>
  </sheetViews>
  <sheetFormatPr defaultRowHeight="13.5"/>
  <cols>
    <col min="1" max="1" width="7.875" style="389" customWidth="1"/>
    <col min="2" max="2" width="8.5" style="389" customWidth="1"/>
    <col min="3" max="3" width="6.625" style="389" customWidth="1"/>
    <col min="4" max="4" width="15.75" style="389" customWidth="1"/>
    <col min="5" max="6" width="15.75" style="388" customWidth="1"/>
    <col min="7" max="7" width="18.25" style="388" customWidth="1"/>
    <col min="8" max="8" width="17.375" style="388" customWidth="1"/>
    <col min="9" max="9" width="14.625" style="388" customWidth="1"/>
    <col min="10" max="10" width="8.375" style="388" customWidth="1"/>
    <col min="11" max="11" width="7.5" style="388" customWidth="1"/>
    <col min="12" max="12" width="7.875" style="389" customWidth="1"/>
    <col min="13" max="13" width="9.25" style="389" customWidth="1"/>
    <col min="14" max="14" width="12.375" style="389" customWidth="1"/>
    <col min="15" max="16384" width="9" style="389"/>
  </cols>
  <sheetData>
    <row r="1" spans="1:12" ht="21">
      <c r="A1" s="384" t="s">
        <v>649</v>
      </c>
      <c r="B1" s="822">
        <v>6</v>
      </c>
      <c r="C1" s="823"/>
      <c r="D1" s="385" t="s">
        <v>650</v>
      </c>
      <c r="E1" s="386" t="s">
        <v>651</v>
      </c>
      <c r="F1" s="824"/>
      <c r="G1" s="825"/>
      <c r="H1" s="387" t="s">
        <v>652</v>
      </c>
    </row>
    <row r="2" spans="1:12" ht="24.75" customHeight="1">
      <c r="A2" s="385" t="s">
        <v>653</v>
      </c>
      <c r="B2" s="826" t="s">
        <v>654</v>
      </c>
      <c r="C2" s="826"/>
      <c r="D2" s="826"/>
      <c r="E2" s="826"/>
      <c r="F2" s="826"/>
      <c r="G2" s="826"/>
      <c r="H2" s="387" t="s">
        <v>655</v>
      </c>
    </row>
    <row r="3" spans="1:12" ht="19.5" customHeight="1">
      <c r="A3" s="390" t="s">
        <v>656</v>
      </c>
      <c r="B3" s="388"/>
      <c r="C3" s="388"/>
      <c r="D3" s="388"/>
      <c r="I3" s="387"/>
    </row>
    <row r="4" spans="1:12">
      <c r="A4" s="391" t="s">
        <v>657</v>
      </c>
      <c r="B4" s="827" t="s">
        <v>658</v>
      </c>
      <c r="C4" s="828"/>
      <c r="D4" s="828"/>
      <c r="E4" s="828"/>
      <c r="F4" s="828"/>
      <c r="G4" s="829"/>
      <c r="H4" s="830" t="s">
        <v>339</v>
      </c>
      <c r="I4" s="831"/>
      <c r="J4" s="831"/>
      <c r="K4" s="831"/>
      <c r="L4" s="832"/>
    </row>
    <row r="5" spans="1:12">
      <c r="A5" s="392" t="s">
        <v>659</v>
      </c>
      <c r="B5" s="833" t="s">
        <v>660</v>
      </c>
      <c r="C5" s="834"/>
      <c r="D5" s="835"/>
      <c r="E5" s="393" t="s">
        <v>661</v>
      </c>
      <c r="F5" s="827" t="s">
        <v>662</v>
      </c>
      <c r="G5" s="829"/>
      <c r="H5" s="393" t="s">
        <v>663</v>
      </c>
      <c r="I5" s="394" t="s">
        <v>664</v>
      </c>
      <c r="J5" s="394" t="s">
        <v>665</v>
      </c>
    </row>
    <row r="6" spans="1:12">
      <c r="A6" s="392" t="s">
        <v>666</v>
      </c>
      <c r="B6" s="833" t="s">
        <v>667</v>
      </c>
      <c r="C6" s="834"/>
      <c r="D6" s="835"/>
      <c r="E6" s="393" t="s">
        <v>668</v>
      </c>
      <c r="F6" s="827" t="s">
        <v>669</v>
      </c>
      <c r="G6" s="829"/>
      <c r="H6" s="393" t="s">
        <v>670</v>
      </c>
      <c r="I6" s="394"/>
      <c r="J6" s="394"/>
    </row>
    <row r="7" spans="1:12">
      <c r="A7" s="392" t="s">
        <v>671</v>
      </c>
      <c r="B7" s="833" t="s">
        <v>667</v>
      </c>
      <c r="C7" s="834"/>
      <c r="D7" s="835"/>
      <c r="E7" s="393" t="s">
        <v>672</v>
      </c>
      <c r="F7" s="827" t="s">
        <v>673</v>
      </c>
      <c r="G7" s="829"/>
      <c r="H7" s="393" t="s">
        <v>674</v>
      </c>
      <c r="I7" s="394" t="s">
        <v>675</v>
      </c>
      <c r="J7" s="387" t="s">
        <v>676</v>
      </c>
      <c r="L7" s="395" t="s">
        <v>343</v>
      </c>
    </row>
    <row r="8" spans="1:12" ht="13.5" customHeight="1">
      <c r="A8" s="396"/>
      <c r="B8" s="836" t="s">
        <v>677</v>
      </c>
      <c r="C8" s="837"/>
      <c r="D8" s="837"/>
      <c r="E8" s="837"/>
      <c r="F8" s="837"/>
      <c r="G8" s="838"/>
      <c r="H8" s="393" t="s">
        <v>678</v>
      </c>
      <c r="I8" s="397" t="s">
        <v>679</v>
      </c>
      <c r="J8" s="398" t="e">
        <f>IF(I8="",0,VLOOKUP(I8,#REF!:#REF!,3,FALSE))</f>
        <v>#REF!</v>
      </c>
      <c r="K8" s="394" t="s">
        <v>89</v>
      </c>
      <c r="L8" s="399" t="e">
        <f>$J$8+$L$9+$I$9</f>
        <v>#REF!</v>
      </c>
    </row>
    <row r="9" spans="1:12" ht="13.5" customHeight="1">
      <c r="A9" s="396"/>
      <c r="B9" s="839" t="s">
        <v>680</v>
      </c>
      <c r="C9" s="840"/>
      <c r="D9" s="840"/>
      <c r="E9" s="840"/>
      <c r="F9" s="840"/>
      <c r="G9" s="841"/>
      <c r="H9" s="393" t="s">
        <v>681</v>
      </c>
      <c r="I9" s="394">
        <v>0</v>
      </c>
      <c r="J9" s="842" t="s">
        <v>682</v>
      </c>
      <c r="K9" s="843"/>
      <c r="L9" s="398" t="e">
        <f>IF($I$7=#REF!,#REF!,IF($I$7=#REF!,#REF!,IF($I$7=#REF!,#REF!,IF($I$7=#REF!,#REF!,IF($I$7=#REF!,#REF!,0)))))</f>
        <v>#REF!</v>
      </c>
    </row>
    <row r="10" spans="1:12" ht="13.5" customHeight="1">
      <c r="A10" s="396"/>
      <c r="B10" s="844" t="s">
        <v>683</v>
      </c>
      <c r="C10" s="840"/>
      <c r="D10" s="840"/>
      <c r="E10" s="840"/>
      <c r="F10" s="840"/>
      <c r="G10" s="841"/>
      <c r="H10" s="400" t="s">
        <v>684</v>
      </c>
      <c r="I10" s="397" t="s">
        <v>679</v>
      </c>
      <c r="J10" s="398" t="e">
        <f>IF(I10="",0,VLOOKUP(I10,#REF!:#REF!,3,FALSE))</f>
        <v>#REF!</v>
      </c>
      <c r="L10" s="388"/>
    </row>
    <row r="11" spans="1:12" ht="13.5" customHeight="1">
      <c r="A11" s="396"/>
      <c r="B11" s="844" t="s">
        <v>685</v>
      </c>
      <c r="C11" s="840"/>
      <c r="D11" s="840"/>
      <c r="E11" s="840"/>
      <c r="F11" s="840"/>
      <c r="G11" s="841"/>
      <c r="H11" s="393" t="s">
        <v>686</v>
      </c>
      <c r="I11" s="394">
        <v>0</v>
      </c>
      <c r="J11" s="842" t="s">
        <v>687</v>
      </c>
      <c r="K11" s="843"/>
      <c r="L11" s="398" t="e">
        <f>IF($I$7=#REF!,#REF!,IF($I$7=#REF!,#REF!,IF($I$7=#REF!,#REF!,IF($I$7=#REF!,#REF!,IF($I$7=#REF!,#REF!,0)))))</f>
        <v>#REF!</v>
      </c>
    </row>
    <row r="12" spans="1:12" ht="13.5" customHeight="1">
      <c r="A12" s="396"/>
      <c r="B12" s="844"/>
      <c r="C12" s="840"/>
      <c r="D12" s="840"/>
      <c r="E12" s="840"/>
      <c r="F12" s="840"/>
      <c r="G12" s="841"/>
      <c r="J12" s="389"/>
      <c r="K12" s="389"/>
      <c r="L12" s="395" t="s">
        <v>343</v>
      </c>
    </row>
    <row r="13" spans="1:12" ht="13.5" customHeight="1">
      <c r="A13" s="396"/>
      <c r="B13" s="852" t="s">
        <v>688</v>
      </c>
      <c r="C13" s="840"/>
      <c r="D13" s="840"/>
      <c r="E13" s="840"/>
      <c r="F13" s="840"/>
      <c r="G13" s="841"/>
      <c r="H13" s="393" t="s">
        <v>689</v>
      </c>
      <c r="I13" s="394">
        <v>1</v>
      </c>
      <c r="J13" s="393" t="s">
        <v>690</v>
      </c>
      <c r="K13" s="394">
        <v>6</v>
      </c>
      <c r="L13" s="399" t="e">
        <f>$J$10+$L$11+$I$11</f>
        <v>#REF!</v>
      </c>
    </row>
    <row r="14" spans="1:12" ht="13.5" customHeight="1">
      <c r="A14" s="396"/>
      <c r="B14" s="845"/>
      <c r="C14" s="848"/>
      <c r="D14" s="848"/>
      <c r="E14" s="848"/>
      <c r="F14" s="848"/>
      <c r="G14" s="849"/>
      <c r="H14" s="393" t="s">
        <v>691</v>
      </c>
      <c r="I14" s="401" t="e">
        <f>IF($I$7=#REF!,#REF!,IF($I$7=#REF!,#REF!,IF($I$7=#REF!,#REF!,IF($I$7=#REF!,#REF!,IF($I$7=#REF!,#REF!,0)))))</f>
        <v>#REF!</v>
      </c>
      <c r="J14" s="393" t="s">
        <v>690</v>
      </c>
      <c r="K14" s="401" t="e">
        <f>IF($I$7=#REF!,#REF!,IF($I$7=#REF!,#REF!,IF($I$7=#REF!,#REF!,IF($I$7=#REF!,#REF!,IF($I$7=#REF!,#REF!,0)))))</f>
        <v>#REF!</v>
      </c>
      <c r="L14" s="399" t="e">
        <f>$J$10+$L$11+$I$11+($I$13*$K$13)</f>
        <v>#REF!</v>
      </c>
    </row>
    <row r="15" spans="1:12" ht="13.5" customHeight="1">
      <c r="A15" s="396"/>
      <c r="B15" s="402"/>
      <c r="C15" s="850" t="s">
        <v>692</v>
      </c>
      <c r="D15" s="850"/>
      <c r="E15" s="403" t="s">
        <v>693</v>
      </c>
      <c r="F15" s="404"/>
      <c r="G15" s="405"/>
      <c r="H15" s="393" t="s">
        <v>694</v>
      </c>
      <c r="I15" s="394"/>
      <c r="J15" s="406" t="s">
        <v>342</v>
      </c>
      <c r="K15" s="397" t="s">
        <v>679</v>
      </c>
      <c r="L15" s="407" t="e">
        <f>IF(K15="",0,VLOOKUP(K15,#REF!:#REF!,3,FALSE))</f>
        <v>#REF!</v>
      </c>
    </row>
    <row r="16" spans="1:12" ht="13.5" customHeight="1">
      <c r="A16" s="396"/>
      <c r="B16" s="402"/>
      <c r="C16" s="846" t="s">
        <v>695</v>
      </c>
      <c r="D16" s="846"/>
      <c r="E16" s="408">
        <v>0</v>
      </c>
      <c r="F16" s="409"/>
      <c r="G16" s="410"/>
    </row>
    <row r="17" spans="1:11" ht="13.5" customHeight="1">
      <c r="A17" s="396"/>
      <c r="B17" s="402"/>
      <c r="C17" s="846" t="s">
        <v>696</v>
      </c>
      <c r="D17" s="846"/>
      <c r="E17" s="408">
        <v>1</v>
      </c>
      <c r="F17" s="409"/>
      <c r="G17" s="410"/>
      <c r="J17" s="389"/>
      <c r="K17" s="389"/>
    </row>
    <row r="18" spans="1:11" ht="13.5" customHeight="1">
      <c r="A18" s="396"/>
      <c r="B18" s="411"/>
      <c r="C18" s="846" t="s">
        <v>697</v>
      </c>
      <c r="D18" s="846"/>
      <c r="E18" s="408">
        <v>2</v>
      </c>
      <c r="F18" s="409"/>
      <c r="G18" s="410"/>
    </row>
    <row r="19" spans="1:11" ht="13.5" customHeight="1">
      <c r="A19" s="396"/>
      <c r="B19" s="411"/>
      <c r="C19" s="846" t="s">
        <v>698</v>
      </c>
      <c r="D19" s="846"/>
      <c r="E19" s="408">
        <v>3</v>
      </c>
      <c r="F19" s="409"/>
      <c r="G19" s="410"/>
      <c r="J19" s="389"/>
      <c r="K19" s="389"/>
    </row>
    <row r="20" spans="1:11" ht="13.5" customHeight="1">
      <c r="A20" s="396"/>
      <c r="B20" s="845"/>
      <c r="C20" s="846"/>
      <c r="D20" s="846"/>
      <c r="E20" s="846"/>
      <c r="F20" s="846"/>
      <c r="G20" s="847"/>
      <c r="J20" s="389"/>
      <c r="K20" s="389"/>
    </row>
    <row r="21" spans="1:11" ht="13.5" customHeight="1">
      <c r="A21" s="396"/>
      <c r="B21" s="845" t="s">
        <v>699</v>
      </c>
      <c r="C21" s="846"/>
      <c r="D21" s="846"/>
      <c r="E21" s="846"/>
      <c r="F21" s="846"/>
      <c r="G21" s="847"/>
    </row>
    <row r="22" spans="1:11" ht="13.5" customHeight="1">
      <c r="A22" s="396"/>
      <c r="B22" s="851" t="s">
        <v>700</v>
      </c>
      <c r="C22" s="846"/>
      <c r="D22" s="846"/>
      <c r="E22" s="846"/>
      <c r="F22" s="846"/>
      <c r="G22" s="847"/>
      <c r="J22" s="389"/>
      <c r="K22" s="389"/>
    </row>
    <row r="23" spans="1:11" ht="13.5" customHeight="1">
      <c r="A23" s="396"/>
      <c r="B23" s="851"/>
      <c r="C23" s="846"/>
      <c r="D23" s="846"/>
      <c r="E23" s="846"/>
      <c r="F23" s="846"/>
      <c r="G23" s="847"/>
      <c r="J23" s="389"/>
      <c r="K23" s="389"/>
    </row>
    <row r="24" spans="1:11" ht="13.5" customHeight="1">
      <c r="A24" s="396"/>
      <c r="B24" s="845"/>
      <c r="C24" s="846"/>
      <c r="D24" s="846"/>
      <c r="E24" s="846"/>
      <c r="F24" s="846"/>
      <c r="G24" s="847"/>
    </row>
    <row r="25" spans="1:11" ht="13.5" customHeight="1">
      <c r="A25" s="396"/>
      <c r="B25" s="845"/>
      <c r="C25" s="846"/>
      <c r="D25" s="846"/>
      <c r="E25" s="846"/>
      <c r="F25" s="846"/>
      <c r="G25" s="847"/>
      <c r="J25" s="389"/>
      <c r="K25" s="389"/>
    </row>
    <row r="26" spans="1:11" ht="13.5" customHeight="1">
      <c r="A26" s="396"/>
      <c r="B26" s="845"/>
      <c r="C26" s="846"/>
      <c r="D26" s="846"/>
      <c r="E26" s="846"/>
      <c r="F26" s="846"/>
      <c r="G26" s="847"/>
      <c r="J26" s="389"/>
      <c r="K26" s="389"/>
    </row>
    <row r="27" spans="1:11" ht="13.5" customHeight="1">
      <c r="A27" s="396"/>
      <c r="B27" s="845"/>
      <c r="C27" s="846"/>
      <c r="D27" s="846"/>
      <c r="E27" s="846"/>
      <c r="F27" s="846"/>
      <c r="G27" s="847"/>
    </row>
    <row r="28" spans="1:11" ht="13.5" customHeight="1">
      <c r="A28" s="396"/>
      <c r="B28" s="851"/>
      <c r="C28" s="846"/>
      <c r="D28" s="846"/>
      <c r="E28" s="846"/>
      <c r="F28" s="846"/>
      <c r="G28" s="847"/>
      <c r="J28" s="389"/>
      <c r="K28" s="389"/>
    </row>
    <row r="29" spans="1:11" ht="13.5" customHeight="1">
      <c r="A29" s="396"/>
      <c r="B29" s="851"/>
      <c r="C29" s="846"/>
      <c r="D29" s="846"/>
      <c r="E29" s="846"/>
      <c r="F29" s="846"/>
      <c r="G29" s="847"/>
      <c r="J29" s="389"/>
      <c r="K29" s="389"/>
    </row>
    <row r="30" spans="1:11" ht="13.5" customHeight="1">
      <c r="A30" s="396"/>
      <c r="B30" s="845"/>
      <c r="C30" s="846"/>
      <c r="D30" s="846"/>
      <c r="E30" s="846"/>
      <c r="F30" s="846"/>
      <c r="G30" s="847"/>
    </row>
    <row r="31" spans="1:11" ht="13.5" customHeight="1">
      <c r="A31" s="396"/>
      <c r="B31" s="845"/>
      <c r="C31" s="846"/>
      <c r="D31" s="846"/>
      <c r="E31" s="846"/>
      <c r="F31" s="846"/>
      <c r="G31" s="847"/>
      <c r="J31" s="389"/>
      <c r="K31" s="389"/>
    </row>
    <row r="32" spans="1:11" ht="13.5" customHeight="1">
      <c r="A32" s="396"/>
      <c r="B32" s="845"/>
      <c r="C32" s="846"/>
      <c r="D32" s="846"/>
      <c r="E32" s="846"/>
      <c r="F32" s="846"/>
      <c r="G32" s="847"/>
      <c r="J32" s="389"/>
      <c r="K32" s="389"/>
    </row>
    <row r="33" spans="1:12" ht="13.5" customHeight="1">
      <c r="A33" s="396"/>
      <c r="B33" s="851"/>
      <c r="C33" s="846"/>
      <c r="D33" s="846"/>
      <c r="E33" s="846"/>
      <c r="F33" s="846"/>
      <c r="G33" s="847"/>
    </row>
    <row r="34" spans="1:12" ht="13.5" customHeight="1">
      <c r="A34" s="396"/>
      <c r="B34" s="851"/>
      <c r="C34" s="846"/>
      <c r="D34" s="846"/>
      <c r="E34" s="846"/>
      <c r="F34" s="846"/>
      <c r="G34" s="847"/>
      <c r="J34" s="389"/>
      <c r="K34" s="389"/>
    </row>
    <row r="35" spans="1:12" ht="13.5" customHeight="1">
      <c r="A35" s="396"/>
      <c r="B35" s="851"/>
      <c r="C35" s="846"/>
      <c r="D35" s="846"/>
      <c r="E35" s="846"/>
      <c r="F35" s="846"/>
      <c r="G35" s="847"/>
      <c r="J35" s="389"/>
      <c r="K35" s="389"/>
    </row>
    <row r="36" spans="1:12" ht="13.5" customHeight="1">
      <c r="A36" s="396"/>
      <c r="B36" s="851"/>
      <c r="C36" s="846"/>
      <c r="D36" s="846"/>
      <c r="E36" s="846"/>
      <c r="F36" s="846"/>
      <c r="G36" s="847"/>
    </row>
    <row r="37" spans="1:12" ht="13.5" customHeight="1">
      <c r="A37" s="396"/>
      <c r="B37" s="851"/>
      <c r="C37" s="846"/>
      <c r="D37" s="846"/>
      <c r="E37" s="846"/>
      <c r="F37" s="846"/>
      <c r="G37" s="847"/>
      <c r="J37" s="389"/>
      <c r="K37" s="389"/>
    </row>
    <row r="38" spans="1:12" ht="13.5" customHeight="1">
      <c r="A38" s="396"/>
      <c r="B38" s="851"/>
      <c r="C38" s="846"/>
      <c r="D38" s="846"/>
      <c r="E38" s="846"/>
      <c r="F38" s="846"/>
      <c r="G38" s="847"/>
      <c r="J38" s="389"/>
      <c r="K38" s="389"/>
    </row>
    <row r="39" spans="1:12" ht="13.5" customHeight="1">
      <c r="A39" s="396"/>
      <c r="B39" s="851"/>
      <c r="C39" s="846"/>
      <c r="D39" s="846"/>
      <c r="E39" s="846"/>
      <c r="F39" s="846"/>
      <c r="G39" s="847"/>
    </row>
    <row r="40" spans="1:12" ht="13.5" customHeight="1">
      <c r="A40" s="396"/>
      <c r="B40" s="851"/>
      <c r="C40" s="846"/>
      <c r="D40" s="846"/>
      <c r="E40" s="846"/>
      <c r="F40" s="846"/>
      <c r="G40" s="847"/>
      <c r="J40" s="389"/>
      <c r="K40" s="389"/>
    </row>
    <row r="41" spans="1:12" ht="13.5" customHeight="1">
      <c r="A41" s="412"/>
      <c r="B41" s="853"/>
      <c r="C41" s="854"/>
      <c r="D41" s="854"/>
      <c r="E41" s="854"/>
      <c r="F41" s="854"/>
      <c r="G41" s="855"/>
      <c r="J41" s="389"/>
      <c r="K41" s="389"/>
    </row>
    <row r="42" spans="1:12">
      <c r="A42" s="854"/>
      <c r="B42" s="854"/>
      <c r="C42" s="854"/>
      <c r="D42" s="854"/>
      <c r="E42" s="854"/>
      <c r="F42" s="854"/>
      <c r="G42" s="854"/>
    </row>
    <row r="43" spans="1:12" ht="13.5" customHeight="1">
      <c r="A43" s="856" t="s">
        <v>701</v>
      </c>
      <c r="B43" s="857"/>
      <c r="C43" s="857"/>
      <c r="D43" s="857"/>
      <c r="E43" s="857"/>
      <c r="F43" s="857"/>
      <c r="G43" s="858"/>
    </row>
    <row r="44" spans="1:12" s="413" customFormat="1" ht="13.5" customHeight="1">
      <c r="A44" s="844"/>
      <c r="B44" s="840"/>
      <c r="C44" s="840"/>
      <c r="D44" s="840"/>
      <c r="E44" s="840"/>
      <c r="F44" s="840"/>
      <c r="G44" s="841"/>
      <c r="L44" s="414"/>
    </row>
    <row r="45" spans="1:12" s="415" customFormat="1" ht="13.5" customHeight="1">
      <c r="A45" s="859"/>
      <c r="B45" s="860"/>
      <c r="C45" s="860"/>
      <c r="D45" s="860"/>
      <c r="E45" s="860"/>
      <c r="F45" s="860"/>
      <c r="G45" s="861"/>
      <c r="L45" s="416"/>
    </row>
    <row r="46" spans="1:12" s="415" customFormat="1" ht="13.5" customHeight="1">
      <c r="A46" s="862"/>
      <c r="B46" s="863"/>
      <c r="C46" s="863"/>
      <c r="D46" s="863"/>
      <c r="E46" s="863"/>
      <c r="F46" s="863"/>
      <c r="G46" s="864"/>
      <c r="L46" s="416"/>
    </row>
    <row r="47" spans="1:12" s="416" customFormat="1" ht="13.5" customHeight="1">
      <c r="A47" s="844"/>
      <c r="B47" s="840"/>
      <c r="C47" s="840"/>
      <c r="D47" s="840"/>
      <c r="E47" s="840"/>
      <c r="F47" s="840"/>
      <c r="G47" s="841"/>
      <c r="H47" s="415"/>
      <c r="I47" s="415"/>
      <c r="J47" s="415"/>
      <c r="K47" s="415"/>
    </row>
    <row r="48" spans="1:12" s="415" customFormat="1" ht="13.5" customHeight="1">
      <c r="A48" s="859"/>
      <c r="B48" s="860"/>
      <c r="C48" s="860"/>
      <c r="D48" s="860"/>
      <c r="E48" s="860"/>
      <c r="F48" s="860"/>
      <c r="G48" s="861"/>
      <c r="L48" s="416"/>
    </row>
    <row r="49" spans="1:12" s="413" customFormat="1" ht="13.5" customHeight="1">
      <c r="A49" s="844"/>
      <c r="B49" s="840"/>
      <c r="C49" s="840"/>
      <c r="D49" s="840"/>
      <c r="E49" s="840"/>
      <c r="F49" s="840"/>
      <c r="G49" s="841"/>
      <c r="L49" s="414"/>
    </row>
    <row r="50" spans="1:12" s="413" customFormat="1" ht="13.5" customHeight="1">
      <c r="A50" s="844"/>
      <c r="B50" s="840"/>
      <c r="C50" s="840"/>
      <c r="D50" s="840"/>
      <c r="E50" s="840"/>
      <c r="F50" s="840"/>
      <c r="G50" s="841"/>
      <c r="L50" s="414"/>
    </row>
    <row r="51" spans="1:12" s="413" customFormat="1" ht="13.5" customHeight="1">
      <c r="A51" s="844"/>
      <c r="B51" s="840"/>
      <c r="C51" s="840"/>
      <c r="D51" s="840"/>
      <c r="E51" s="840"/>
      <c r="F51" s="840"/>
      <c r="G51" s="841"/>
      <c r="L51" s="414"/>
    </row>
    <row r="52" spans="1:12" s="414" customFormat="1" ht="13.5" customHeight="1">
      <c r="A52" s="844"/>
      <c r="B52" s="840"/>
      <c r="C52" s="840"/>
      <c r="D52" s="840"/>
      <c r="E52" s="840"/>
      <c r="F52" s="840"/>
      <c r="G52" s="841"/>
      <c r="H52" s="413"/>
      <c r="I52" s="413"/>
      <c r="J52" s="413"/>
      <c r="K52" s="413"/>
    </row>
    <row r="53" spans="1:12" s="413" customFormat="1" ht="13.5" customHeight="1">
      <c r="A53" s="844"/>
      <c r="B53" s="840"/>
      <c r="C53" s="840"/>
      <c r="D53" s="840"/>
      <c r="E53" s="840"/>
      <c r="F53" s="840"/>
      <c r="G53" s="841"/>
      <c r="L53" s="414"/>
    </row>
    <row r="54" spans="1:12" s="413" customFormat="1" ht="13.5" customHeight="1">
      <c r="A54" s="844"/>
      <c r="B54" s="840"/>
      <c r="C54" s="840"/>
      <c r="D54" s="840"/>
      <c r="E54" s="840"/>
      <c r="F54" s="840"/>
      <c r="G54" s="841"/>
      <c r="L54" s="414"/>
    </row>
    <row r="55" spans="1:12" s="413" customFormat="1" ht="13.5" customHeight="1">
      <c r="A55" s="844"/>
      <c r="B55" s="840"/>
      <c r="C55" s="840"/>
      <c r="D55" s="840"/>
      <c r="E55" s="840"/>
      <c r="F55" s="840"/>
      <c r="G55" s="841"/>
      <c r="L55" s="414"/>
    </row>
    <row r="56" spans="1:12" s="413" customFormat="1" ht="13.5" customHeight="1">
      <c r="A56" s="844"/>
      <c r="B56" s="840"/>
      <c r="C56" s="840"/>
      <c r="D56" s="840"/>
      <c r="E56" s="840"/>
      <c r="F56" s="840"/>
      <c r="G56" s="841"/>
      <c r="L56" s="414"/>
    </row>
    <row r="57" spans="1:12" s="413" customFormat="1" ht="13.5" customHeight="1">
      <c r="A57" s="844"/>
      <c r="B57" s="840"/>
      <c r="C57" s="840"/>
      <c r="D57" s="840"/>
      <c r="E57" s="840"/>
      <c r="F57" s="840"/>
      <c r="G57" s="841"/>
      <c r="L57" s="414"/>
    </row>
    <row r="58" spans="1:12" s="414" customFormat="1" ht="13.5" customHeight="1">
      <c r="A58" s="844"/>
      <c r="B58" s="840"/>
      <c r="C58" s="840"/>
      <c r="D58" s="840"/>
      <c r="E58" s="840"/>
      <c r="F58" s="840"/>
      <c r="G58" s="841"/>
      <c r="H58" s="413"/>
      <c r="I58" s="413"/>
      <c r="J58" s="413"/>
      <c r="K58" s="413"/>
    </row>
    <row r="59" spans="1:12" s="388" customFormat="1" ht="21">
      <c r="A59" s="417" t="s">
        <v>702</v>
      </c>
      <c r="B59" s="418">
        <f>$B$1</f>
        <v>6</v>
      </c>
      <c r="C59" s="419" t="s">
        <v>650</v>
      </c>
      <c r="D59" s="420" t="str">
        <f>$E$1</f>
        <v>儀式</v>
      </c>
      <c r="E59" s="865" t="str">
        <f>$B$2</f>
        <v>スピーク・ウィズ・デッド</v>
      </c>
      <c r="F59" s="866"/>
      <c r="G59" s="867"/>
      <c r="L59" s="389"/>
    </row>
  </sheetData>
  <mergeCells count="65">
    <mergeCell ref="A56:G56"/>
    <mergeCell ref="A57:G57"/>
    <mergeCell ref="A58:G58"/>
    <mergeCell ref="E59:G59"/>
    <mergeCell ref="A50:G50"/>
    <mergeCell ref="A51:G51"/>
    <mergeCell ref="A52:G52"/>
    <mergeCell ref="A53:G53"/>
    <mergeCell ref="A54:G54"/>
    <mergeCell ref="A55:G55"/>
    <mergeCell ref="A49:G49"/>
    <mergeCell ref="B38:G38"/>
    <mergeCell ref="B39:G39"/>
    <mergeCell ref="B40:G40"/>
    <mergeCell ref="B41:G41"/>
    <mergeCell ref="A42:G42"/>
    <mergeCell ref="A43:G43"/>
    <mergeCell ref="A44:G44"/>
    <mergeCell ref="A45:G45"/>
    <mergeCell ref="A46:G46"/>
    <mergeCell ref="A47:G47"/>
    <mergeCell ref="A48:G48"/>
    <mergeCell ref="B37:G37"/>
    <mergeCell ref="B26:G26"/>
    <mergeCell ref="B27:G27"/>
    <mergeCell ref="B28:G28"/>
    <mergeCell ref="B29:G29"/>
    <mergeCell ref="B30:G30"/>
    <mergeCell ref="B31:G31"/>
    <mergeCell ref="B32:G32"/>
    <mergeCell ref="B33:G33"/>
    <mergeCell ref="B34:G34"/>
    <mergeCell ref="B35:G35"/>
    <mergeCell ref="B36:G36"/>
    <mergeCell ref="B5:D5"/>
    <mergeCell ref="F5:G5"/>
    <mergeCell ref="B25:G25"/>
    <mergeCell ref="B14:G14"/>
    <mergeCell ref="C15:D15"/>
    <mergeCell ref="C16:D16"/>
    <mergeCell ref="C17:D17"/>
    <mergeCell ref="C18:D18"/>
    <mergeCell ref="C19:D19"/>
    <mergeCell ref="B20:G20"/>
    <mergeCell ref="B21:G21"/>
    <mergeCell ref="B22:G22"/>
    <mergeCell ref="B23:G23"/>
    <mergeCell ref="B24:G24"/>
    <mergeCell ref="B13:G13"/>
    <mergeCell ref="B6:D6"/>
    <mergeCell ref="J9:K9"/>
    <mergeCell ref="B10:G10"/>
    <mergeCell ref="B11:G11"/>
    <mergeCell ref="J11:K11"/>
    <mergeCell ref="B12:G12"/>
    <mergeCell ref="F6:G6"/>
    <mergeCell ref="B7:D7"/>
    <mergeCell ref="F7:G7"/>
    <mergeCell ref="B8:G8"/>
    <mergeCell ref="B9:G9"/>
    <mergeCell ref="B1:C1"/>
    <mergeCell ref="F1:G1"/>
    <mergeCell ref="B2:G2"/>
    <mergeCell ref="B4:G4"/>
    <mergeCell ref="H4:L4"/>
  </mergeCells>
  <phoneticPr fontId="1"/>
  <dataValidations count="1">
    <dataValidation type="list" allowBlank="1" showInputMessage="1" showErrorMessage="1" sqref="I10 K15 K8 I15 I5:I8">
      <formula1>#REF!</formula1>
    </dataValidation>
  </dataValidations>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tabSelected="1" topLeftCell="C1" zoomScaleNormal="100" workbookViewId="0">
      <selection activeCell="N2" sqref="N2"/>
    </sheetView>
  </sheetViews>
  <sheetFormatPr defaultRowHeight="13.5"/>
  <cols>
    <col min="1" max="1" width="8" customWidth="1"/>
    <col min="3" max="3" width="9.75" customWidth="1"/>
    <col min="5" max="5" width="9.5" bestFit="1" customWidth="1"/>
    <col min="15" max="15" width="9" style="47"/>
    <col min="16" max="16" width="7.375" customWidth="1"/>
  </cols>
  <sheetData>
    <row r="1" spans="1:24">
      <c r="A1" s="8" t="s">
        <v>30</v>
      </c>
      <c r="B1" s="547" t="s">
        <v>135</v>
      </c>
      <c r="C1" s="547"/>
      <c r="D1" s="547"/>
      <c r="E1" s="62" t="s">
        <v>103</v>
      </c>
      <c r="F1" s="62" t="s">
        <v>104</v>
      </c>
      <c r="G1" s="62" t="s">
        <v>106</v>
      </c>
      <c r="H1" s="62" t="s">
        <v>105</v>
      </c>
      <c r="I1" s="62" t="s">
        <v>107</v>
      </c>
      <c r="J1" s="78"/>
      <c r="M1" s="15" t="s">
        <v>62</v>
      </c>
      <c r="N1" s="212">
        <v>4.0999999999999996</v>
      </c>
      <c r="O1" s="16"/>
    </row>
    <row r="2" spans="1:24">
      <c r="A2" s="8" t="s">
        <v>31</v>
      </c>
      <c r="B2" s="548" t="s">
        <v>474</v>
      </c>
      <c r="C2" s="549"/>
      <c r="D2" s="550"/>
      <c r="E2" s="63">
        <v>10</v>
      </c>
      <c r="F2" s="63">
        <v>4</v>
      </c>
      <c r="G2" s="63">
        <v>0</v>
      </c>
      <c r="H2" s="63">
        <v>6</v>
      </c>
      <c r="I2" s="63">
        <v>0</v>
      </c>
      <c r="J2" s="78"/>
      <c r="N2" t="s">
        <v>88</v>
      </c>
    </row>
    <row r="3" spans="1:24" ht="14.25" thickBot="1">
      <c r="A3" s="9" t="s">
        <v>32</v>
      </c>
      <c r="B3" s="44">
        <v>17</v>
      </c>
    </row>
    <row r="4" spans="1:24" ht="14.25" thickBot="1">
      <c r="A4" s="7"/>
      <c r="B4" s="6" t="s">
        <v>10</v>
      </c>
      <c r="C4" s="6" t="s">
        <v>11</v>
      </c>
      <c r="D4" s="6"/>
      <c r="F4" s="551" t="s">
        <v>315</v>
      </c>
      <c r="G4" s="552"/>
    </row>
    <row r="5" spans="1:24">
      <c r="A5" s="8" t="s">
        <v>12</v>
      </c>
      <c r="B5" s="5">
        <v>11</v>
      </c>
      <c r="C5" s="14">
        <f>INT(($B$5-10)/2)</f>
        <v>0</v>
      </c>
      <c r="D5" s="4">
        <f>INT($B$3/2)+$C5</f>
        <v>8</v>
      </c>
      <c r="F5" s="545" t="s">
        <v>979</v>
      </c>
      <c r="G5" s="545"/>
      <c r="H5" s="546"/>
      <c r="I5" s="546"/>
      <c r="J5" s="546"/>
      <c r="K5" s="546"/>
      <c r="L5" s="546"/>
      <c r="M5" s="546"/>
      <c r="N5" s="546"/>
      <c r="O5" s="66"/>
    </row>
    <row r="6" spans="1:24">
      <c r="A6" s="8" t="s">
        <v>13</v>
      </c>
      <c r="B6" s="5">
        <v>16</v>
      </c>
      <c r="C6" s="14">
        <f>INT(($B$6-10)/2)</f>
        <v>3</v>
      </c>
      <c r="D6" s="23">
        <f t="shared" ref="D6:D10" si="0">INT($B$3/2)+$C6</f>
        <v>11</v>
      </c>
      <c r="F6" s="46" t="s">
        <v>22</v>
      </c>
      <c r="G6" s="6" t="s">
        <v>23</v>
      </c>
      <c r="H6" s="6" t="s">
        <v>24</v>
      </c>
      <c r="I6" s="6" t="s">
        <v>25</v>
      </c>
      <c r="J6" s="6" t="s">
        <v>26</v>
      </c>
      <c r="K6" s="6" t="s">
        <v>27</v>
      </c>
      <c r="L6" s="6" t="s">
        <v>83</v>
      </c>
      <c r="M6" s="6" t="s">
        <v>28</v>
      </c>
      <c r="N6" s="485" t="s">
        <v>29</v>
      </c>
      <c r="O6" s="479" t="s">
        <v>803</v>
      </c>
      <c r="P6" s="287"/>
      <c r="Q6" s="485" t="s">
        <v>804</v>
      </c>
      <c r="R6" s="479" t="s">
        <v>805</v>
      </c>
      <c r="S6" s="479" t="s">
        <v>31</v>
      </c>
      <c r="T6" s="479" t="s">
        <v>808</v>
      </c>
      <c r="U6" s="479" t="s">
        <v>771</v>
      </c>
      <c r="V6" s="479" t="s">
        <v>806</v>
      </c>
      <c r="W6" s="479" t="s">
        <v>642</v>
      </c>
      <c r="X6" s="479" t="s">
        <v>642</v>
      </c>
    </row>
    <row r="7" spans="1:24">
      <c r="A7" s="8" t="s">
        <v>14</v>
      </c>
      <c r="B7" s="5">
        <v>12</v>
      </c>
      <c r="C7" s="14">
        <f>INT(($B$7-10)/2)</f>
        <v>1</v>
      </c>
      <c r="D7" s="23">
        <f t="shared" si="0"/>
        <v>9</v>
      </c>
      <c r="F7" s="137" t="s">
        <v>129</v>
      </c>
      <c r="G7" s="2">
        <f>I7+P7</f>
        <v>0</v>
      </c>
      <c r="H7" s="17" t="s">
        <v>12</v>
      </c>
      <c r="I7" s="19">
        <f>IF($H7 = "筋力",基本!$C$5,IF($H7 = "耐久力",基本!$C$6,IF($H7 = "敏捷力",基本!$C$7,IF($H7 = "知力",基本!$C$8,IF($H7 = "判断力",基本!$C$9,IF($H7 = "魅力",基本!$C$10,""))))))</f>
        <v>0</v>
      </c>
      <c r="J7" s="23">
        <f>INT($B$3/2)</f>
        <v>8</v>
      </c>
      <c r="K7" s="5">
        <v>2</v>
      </c>
      <c r="L7" s="5">
        <v>2</v>
      </c>
      <c r="M7" s="5">
        <v>4</v>
      </c>
      <c r="N7" s="478">
        <f>Q7</f>
        <v>0</v>
      </c>
      <c r="O7" s="478">
        <f>SUM(J7:N7)</f>
        <v>16</v>
      </c>
      <c r="P7" s="287"/>
      <c r="Q7" s="478">
        <f>SUM(R7:X7)</f>
        <v>0</v>
      </c>
      <c r="R7" s="477">
        <v>0</v>
      </c>
      <c r="S7" s="477">
        <v>0</v>
      </c>
      <c r="T7" s="477">
        <v>0</v>
      </c>
      <c r="U7" s="477">
        <v>0</v>
      </c>
      <c r="V7" s="477">
        <v>0</v>
      </c>
      <c r="W7" s="477">
        <v>0</v>
      </c>
      <c r="X7" s="477">
        <v>0</v>
      </c>
    </row>
    <row r="8" spans="1:24">
      <c r="A8" s="8" t="s">
        <v>15</v>
      </c>
      <c r="B8" s="5">
        <v>16</v>
      </c>
      <c r="C8" s="14">
        <f>INT(($B$8-10)/2)</f>
        <v>3</v>
      </c>
      <c r="D8" s="23">
        <f t="shared" si="0"/>
        <v>11</v>
      </c>
      <c r="F8" s="539" t="s">
        <v>33</v>
      </c>
      <c r="G8" s="540"/>
      <c r="H8" s="541"/>
      <c r="I8" s="221" t="s">
        <v>34</v>
      </c>
      <c r="J8" s="6" t="s">
        <v>24</v>
      </c>
      <c r="K8" s="6" t="s">
        <v>25</v>
      </c>
      <c r="L8" s="18" t="s">
        <v>83</v>
      </c>
      <c r="M8" s="6" t="s">
        <v>28</v>
      </c>
      <c r="N8" s="485" t="s">
        <v>29</v>
      </c>
      <c r="O8" s="479" t="s">
        <v>803</v>
      </c>
      <c r="P8" s="287"/>
      <c r="Q8" s="485" t="s">
        <v>807</v>
      </c>
      <c r="R8" s="479" t="s">
        <v>805</v>
      </c>
      <c r="S8" s="479" t="s">
        <v>31</v>
      </c>
      <c r="T8" s="479" t="s">
        <v>808</v>
      </c>
      <c r="U8" s="479" t="s">
        <v>771</v>
      </c>
      <c r="V8" s="479" t="s">
        <v>806</v>
      </c>
      <c r="W8" s="479" t="s">
        <v>642</v>
      </c>
      <c r="X8" s="479" t="s">
        <v>642</v>
      </c>
    </row>
    <row r="9" spans="1:24">
      <c r="A9" s="8" t="s">
        <v>16</v>
      </c>
      <c r="B9" s="5">
        <v>24</v>
      </c>
      <c r="C9" s="14">
        <f>INT(($B$9-10)/2)</f>
        <v>7</v>
      </c>
      <c r="D9" s="23">
        <f t="shared" si="0"/>
        <v>15</v>
      </c>
      <c r="F9" s="224">
        <v>1</v>
      </c>
      <c r="G9" s="218" t="s">
        <v>44</v>
      </c>
      <c r="H9" s="225">
        <v>8</v>
      </c>
      <c r="I9" s="223">
        <f>K9+P9</f>
        <v>0</v>
      </c>
      <c r="J9" s="43" t="s">
        <v>12</v>
      </c>
      <c r="K9" s="19">
        <f>IF($J9 = "筋力",基本!$C$5,IF($J9 = "耐久力",基本!$C$6,IF($J9 = "敏捷力",基本!$C$7,IF($J9 = "知力",基本!$C$8,IF($J9 = "判断力",基本!$C$9,IF($J9 = "魅力",基本!$C$10,""))))))</f>
        <v>0</v>
      </c>
      <c r="L9" s="5">
        <v>0</v>
      </c>
      <c r="M9" s="5">
        <v>4</v>
      </c>
      <c r="N9" s="478">
        <f>Q9</f>
        <v>0</v>
      </c>
      <c r="O9" s="478">
        <f>SUM(L9:N9)</f>
        <v>4</v>
      </c>
      <c r="P9" s="287"/>
      <c r="Q9" s="478">
        <f>SUM(R9:X9)</f>
        <v>0</v>
      </c>
      <c r="R9" s="477">
        <v>0</v>
      </c>
      <c r="S9" s="477">
        <v>0</v>
      </c>
      <c r="T9" s="477">
        <v>0</v>
      </c>
      <c r="U9" s="477">
        <v>0</v>
      </c>
      <c r="V9" s="477">
        <v>0</v>
      </c>
      <c r="W9" s="477">
        <v>0</v>
      </c>
      <c r="X9" s="477">
        <v>0</v>
      </c>
    </row>
    <row r="10" spans="1:24">
      <c r="A10" s="8" t="s">
        <v>17</v>
      </c>
      <c r="B10" s="5">
        <v>9</v>
      </c>
      <c r="C10" s="14">
        <f>INT(($B$10-10)/2)</f>
        <v>-1</v>
      </c>
      <c r="D10" s="23">
        <f t="shared" si="0"/>
        <v>7</v>
      </c>
      <c r="F10" s="544" t="s">
        <v>35</v>
      </c>
      <c r="G10" s="544"/>
      <c r="H10" s="544" t="s">
        <v>36</v>
      </c>
      <c r="I10" s="544"/>
      <c r="J10" s="544"/>
      <c r="K10" s="544"/>
      <c r="L10" s="544" t="s">
        <v>37</v>
      </c>
      <c r="M10" s="544"/>
      <c r="N10" s="544"/>
      <c r="O10"/>
    </row>
    <row r="11" spans="1:24">
      <c r="A11" s="47"/>
      <c r="B11" s="47"/>
      <c r="C11" s="47"/>
      <c r="D11" s="47"/>
      <c r="F11" s="547" t="s">
        <v>18</v>
      </c>
      <c r="G11" s="543"/>
      <c r="H11" s="547" t="s">
        <v>337</v>
      </c>
      <c r="I11" s="543"/>
      <c r="J11" s="543"/>
      <c r="K11" s="543"/>
      <c r="L11" s="5">
        <v>5</v>
      </c>
      <c r="M11" s="4" t="s">
        <v>63</v>
      </c>
      <c r="N11" s="129">
        <v>12</v>
      </c>
      <c r="O11"/>
    </row>
    <row r="12" spans="1:24" ht="14.25" thickBot="1">
      <c r="A12" s="62" t="s">
        <v>86</v>
      </c>
      <c r="B12" s="29" t="s">
        <v>93</v>
      </c>
      <c r="C12" s="29" t="s">
        <v>94</v>
      </c>
      <c r="D12" s="62" t="s">
        <v>108</v>
      </c>
      <c r="F12" s="1"/>
      <c r="G12" s="1"/>
      <c r="H12" s="1"/>
      <c r="I12" s="1"/>
      <c r="J12" s="1"/>
      <c r="K12" s="1"/>
      <c r="L12" s="1"/>
      <c r="M12" s="1"/>
      <c r="N12" s="1"/>
      <c r="O12" s="27"/>
    </row>
    <row r="13" spans="1:24" ht="14.25" thickBot="1">
      <c r="A13" s="42">
        <f>$E$2+$B$6+($F$2*($B$3-1))</f>
        <v>90</v>
      </c>
      <c r="B13" s="32">
        <f>INT($A$13/2)</f>
        <v>45</v>
      </c>
      <c r="C13" s="32">
        <f>INT($A$13/4)</f>
        <v>22</v>
      </c>
      <c r="D13" s="32">
        <f>H2+C6</f>
        <v>9</v>
      </c>
      <c r="F13" s="551" t="s">
        <v>320</v>
      </c>
      <c r="G13" s="552"/>
      <c r="H13" s="1"/>
      <c r="I13" s="1"/>
      <c r="J13" s="1"/>
      <c r="K13" s="1"/>
      <c r="L13" s="1"/>
      <c r="M13" s="1"/>
      <c r="N13" s="1"/>
      <c r="O13" s="27"/>
    </row>
    <row r="14" spans="1:24">
      <c r="F14" s="545" t="s">
        <v>324</v>
      </c>
      <c r="G14" s="545"/>
      <c r="H14" s="546"/>
      <c r="I14" s="546"/>
      <c r="J14" s="546"/>
      <c r="K14" s="546"/>
      <c r="L14" s="546"/>
      <c r="M14" s="546"/>
      <c r="N14" s="546"/>
      <c r="O14" s="66"/>
    </row>
    <row r="15" spans="1:24">
      <c r="A15" s="62" t="s">
        <v>92</v>
      </c>
      <c r="B15" s="28">
        <v>5</v>
      </c>
      <c r="F15" s="6" t="s">
        <v>22</v>
      </c>
      <c r="G15" s="6" t="s">
        <v>23</v>
      </c>
      <c r="H15" s="6" t="s">
        <v>24</v>
      </c>
      <c r="I15" s="6" t="s">
        <v>25</v>
      </c>
      <c r="J15" s="6" t="s">
        <v>26</v>
      </c>
      <c r="K15" s="6" t="s">
        <v>27</v>
      </c>
      <c r="L15" s="18" t="s">
        <v>83</v>
      </c>
      <c r="M15" s="6" t="s">
        <v>28</v>
      </c>
      <c r="N15" s="485" t="s">
        <v>29</v>
      </c>
      <c r="O15" s="479" t="s">
        <v>803</v>
      </c>
      <c r="P15" s="287"/>
      <c r="Q15" s="485" t="s">
        <v>804</v>
      </c>
      <c r="R15" s="479" t="s">
        <v>805</v>
      </c>
      <c r="S15" s="479" t="s">
        <v>31</v>
      </c>
      <c r="T15" s="479" t="s">
        <v>808</v>
      </c>
      <c r="U15" s="479" t="s">
        <v>771</v>
      </c>
      <c r="V15" s="479" t="s">
        <v>806</v>
      </c>
      <c r="W15" s="479" t="s">
        <v>642</v>
      </c>
      <c r="X15" s="479" t="s">
        <v>642</v>
      </c>
    </row>
    <row r="16" spans="1:24">
      <c r="A16" s="62" t="s">
        <v>91</v>
      </c>
      <c r="B16" s="22">
        <v>30</v>
      </c>
      <c r="F16" s="63" t="s">
        <v>129</v>
      </c>
      <c r="G16" s="61">
        <f>I16+P16</f>
        <v>0</v>
      </c>
      <c r="H16" s="17" t="s">
        <v>12</v>
      </c>
      <c r="I16" s="19">
        <f>IF($H16 = "筋力",基本!$C$5,IF($H16 = "耐久力",基本!$C$6,IF($H16 = "敏捷力",基本!$C$7,IF($H16 = "知力",基本!$C$8,IF($H16 = "判断力",基本!$C$9,IF($H16 = "魅力",基本!$C$10,""))))))</f>
        <v>0</v>
      </c>
      <c r="J16" s="2">
        <f>INT($B$3/2)</f>
        <v>8</v>
      </c>
      <c r="K16" s="5">
        <v>2</v>
      </c>
      <c r="L16" s="5">
        <v>2</v>
      </c>
      <c r="M16" s="5">
        <v>3</v>
      </c>
      <c r="N16" s="478">
        <f>Q16</f>
        <v>0</v>
      </c>
      <c r="O16" s="478">
        <f>SUM(J16:N16)</f>
        <v>15</v>
      </c>
      <c r="P16" s="287"/>
      <c r="Q16" s="478">
        <f>SUM(R16:X16)</f>
        <v>0</v>
      </c>
      <c r="R16" s="477">
        <v>0</v>
      </c>
      <c r="S16" s="477">
        <v>0</v>
      </c>
      <c r="T16" s="477">
        <v>0</v>
      </c>
      <c r="U16" s="477">
        <v>0</v>
      </c>
      <c r="V16" s="477">
        <v>0</v>
      </c>
      <c r="W16" s="477">
        <v>0</v>
      </c>
      <c r="X16" s="477">
        <v>0</v>
      </c>
    </row>
    <row r="17" spans="1:24">
      <c r="A17" s="62" t="s">
        <v>19</v>
      </c>
      <c r="B17" s="496">
        <v>29</v>
      </c>
      <c r="F17" s="539" t="s">
        <v>33</v>
      </c>
      <c r="G17" s="540"/>
      <c r="H17" s="541"/>
      <c r="I17" s="221" t="s">
        <v>34</v>
      </c>
      <c r="J17" s="6" t="s">
        <v>24</v>
      </c>
      <c r="K17" s="6" t="s">
        <v>25</v>
      </c>
      <c r="L17" s="18" t="s">
        <v>83</v>
      </c>
      <c r="M17" s="6" t="s">
        <v>28</v>
      </c>
      <c r="N17" s="485" t="s">
        <v>29</v>
      </c>
      <c r="O17" s="479" t="s">
        <v>803</v>
      </c>
      <c r="P17" s="287"/>
      <c r="Q17" s="485" t="s">
        <v>807</v>
      </c>
      <c r="R17" s="479" t="s">
        <v>805</v>
      </c>
      <c r="S17" s="479" t="s">
        <v>31</v>
      </c>
      <c r="T17" s="479" t="s">
        <v>808</v>
      </c>
      <c r="U17" s="479" t="s">
        <v>771</v>
      </c>
      <c r="V17" s="479" t="s">
        <v>806</v>
      </c>
      <c r="W17" s="479" t="s">
        <v>642</v>
      </c>
      <c r="X17" s="479" t="s">
        <v>642</v>
      </c>
    </row>
    <row r="18" spans="1:24">
      <c r="A18" s="62" t="s">
        <v>20</v>
      </c>
      <c r="B18" s="496">
        <v>29</v>
      </c>
      <c r="F18" s="226">
        <v>1</v>
      </c>
      <c r="G18" s="218" t="s">
        <v>44</v>
      </c>
      <c r="H18" s="225">
        <v>8</v>
      </c>
      <c r="I18" s="223">
        <f>K18+P18</f>
        <v>0</v>
      </c>
      <c r="J18" s="17" t="s">
        <v>12</v>
      </c>
      <c r="K18" s="19">
        <f>IF($J18 = "筋力",基本!$C$5,IF($J18 = "耐久力",基本!$C$6,IF($J18 = "敏捷力",基本!$C$7,IF($J18 = "知力",基本!$C$8,IF($J18 = "判断力",基本!$C$9,IF($J18 = "魅力",基本!$C$10,""))))))</f>
        <v>0</v>
      </c>
      <c r="L18" s="5">
        <v>0</v>
      </c>
      <c r="M18" s="5">
        <v>3</v>
      </c>
      <c r="N18" s="478">
        <f>Q18</f>
        <v>0</v>
      </c>
      <c r="O18" s="478">
        <f>SUM(L18:N18)</f>
        <v>3</v>
      </c>
      <c r="P18" s="287"/>
      <c r="Q18" s="478">
        <f>SUM(R18:X18)</f>
        <v>0</v>
      </c>
      <c r="R18" s="477">
        <v>0</v>
      </c>
      <c r="S18" s="477">
        <v>0</v>
      </c>
      <c r="T18" s="477">
        <v>0</v>
      </c>
      <c r="U18" s="477">
        <v>0</v>
      </c>
      <c r="V18" s="477">
        <v>0</v>
      </c>
      <c r="W18" s="477">
        <v>0</v>
      </c>
      <c r="X18" s="477">
        <v>0</v>
      </c>
    </row>
    <row r="19" spans="1:24">
      <c r="A19" s="62" t="s">
        <v>21</v>
      </c>
      <c r="B19" s="22">
        <v>36</v>
      </c>
      <c r="F19" s="544" t="s">
        <v>35</v>
      </c>
      <c r="G19" s="544"/>
      <c r="H19" s="544" t="s">
        <v>36</v>
      </c>
      <c r="I19" s="544"/>
      <c r="J19" s="544"/>
      <c r="K19" s="544"/>
      <c r="L19" s="544" t="s">
        <v>37</v>
      </c>
      <c r="M19" s="544"/>
      <c r="N19" s="544"/>
    </row>
    <row r="20" spans="1:24">
      <c r="F20" s="543" t="s">
        <v>18</v>
      </c>
      <c r="G20" s="543"/>
      <c r="H20" s="542" t="s">
        <v>336</v>
      </c>
      <c r="I20" s="543"/>
      <c r="J20" s="543"/>
      <c r="K20" s="543"/>
      <c r="L20" s="5">
        <v>4</v>
      </c>
      <c r="M20" s="4" t="s">
        <v>44</v>
      </c>
      <c r="N20" s="5">
        <v>8</v>
      </c>
    </row>
    <row r="21" spans="1:24" ht="14.25" thickBot="1">
      <c r="A21" s="539" t="s">
        <v>128</v>
      </c>
      <c r="B21" s="540"/>
      <c r="C21" s="541"/>
      <c r="F21" s="1"/>
      <c r="G21" s="1"/>
      <c r="H21" s="1"/>
      <c r="I21" s="1"/>
      <c r="J21" s="1"/>
      <c r="K21" s="1"/>
      <c r="L21" s="1"/>
      <c r="M21" s="1"/>
      <c r="N21" s="1"/>
      <c r="O21" s="27"/>
    </row>
    <row r="22" spans="1:24" ht="14.25" thickBot="1">
      <c r="A22" s="537" t="s">
        <v>16</v>
      </c>
      <c r="B22" s="131" t="s">
        <v>10</v>
      </c>
      <c r="C22" s="131" t="s">
        <v>11</v>
      </c>
      <c r="D22" s="47"/>
      <c r="F22" s="551" t="s">
        <v>64</v>
      </c>
      <c r="G22" s="552"/>
      <c r="H22" s="1"/>
      <c r="I22" s="1"/>
      <c r="J22" s="1"/>
      <c r="K22" s="1"/>
      <c r="L22" s="1"/>
      <c r="M22" s="1"/>
      <c r="N22" s="1"/>
      <c r="O22" s="27"/>
    </row>
    <row r="23" spans="1:24">
      <c r="A23" s="538"/>
      <c r="B23" s="132">
        <v>16</v>
      </c>
      <c r="C23" s="32">
        <f>INT((B23-10)/2)</f>
        <v>3</v>
      </c>
      <c r="D23" s="47"/>
      <c r="F23" s="545" t="s">
        <v>979</v>
      </c>
      <c r="G23" s="545"/>
      <c r="H23" s="546"/>
      <c r="I23" s="546"/>
      <c r="J23" s="546"/>
      <c r="K23" s="546"/>
      <c r="L23" s="546"/>
      <c r="M23" s="546"/>
      <c r="N23" s="546"/>
      <c r="O23" s="66"/>
    </row>
    <row r="24" spans="1:24">
      <c r="B24" s="47"/>
      <c r="C24" s="47"/>
      <c r="D24" s="47"/>
      <c r="F24" s="6" t="s">
        <v>22</v>
      </c>
      <c r="G24" s="6" t="s">
        <v>23</v>
      </c>
      <c r="H24" s="6" t="s">
        <v>24</v>
      </c>
      <c r="I24" s="6" t="s">
        <v>25</v>
      </c>
      <c r="J24" s="6" t="s">
        <v>26</v>
      </c>
      <c r="K24" s="6" t="s">
        <v>27</v>
      </c>
      <c r="L24" s="18" t="s">
        <v>83</v>
      </c>
      <c r="M24" s="6" t="s">
        <v>28</v>
      </c>
      <c r="N24" s="485" t="s">
        <v>29</v>
      </c>
      <c r="O24" s="479" t="s">
        <v>803</v>
      </c>
      <c r="P24" s="287"/>
      <c r="Q24" s="485" t="s">
        <v>804</v>
      </c>
      <c r="R24" s="479" t="s">
        <v>805</v>
      </c>
      <c r="S24" s="479" t="s">
        <v>31</v>
      </c>
      <c r="T24" s="479" t="s">
        <v>808</v>
      </c>
      <c r="U24" s="479" t="s">
        <v>771</v>
      </c>
      <c r="V24" s="479" t="s">
        <v>806</v>
      </c>
      <c r="W24" s="479" t="s">
        <v>642</v>
      </c>
      <c r="X24" s="479" t="s">
        <v>642</v>
      </c>
    </row>
    <row r="25" spans="1:24">
      <c r="B25" s="47"/>
      <c r="C25" s="47"/>
      <c r="D25" s="47"/>
      <c r="F25" s="134" t="s">
        <v>64</v>
      </c>
      <c r="G25" s="61">
        <f>I25+P25</f>
        <v>7</v>
      </c>
      <c r="H25" s="17" t="s">
        <v>16</v>
      </c>
      <c r="I25" s="19">
        <f>IF($H25 = "筋力",基本!$C$5,IF($H25 = "耐久力",基本!$C$6,IF($H25 = "敏捷力",基本!$C$7,IF($H25 = "知力",基本!$C$8,IF($H25 = "判断力",基本!$C$9,IF($H25 = "魅力",基本!$C$10,""))))))</f>
        <v>7</v>
      </c>
      <c r="J25" s="2">
        <f>INT($B$3/2)</f>
        <v>8</v>
      </c>
      <c r="K25" s="5">
        <v>0</v>
      </c>
      <c r="L25" s="5">
        <v>2</v>
      </c>
      <c r="M25" s="5">
        <v>4</v>
      </c>
      <c r="N25" s="478">
        <f>Q25</f>
        <v>1</v>
      </c>
      <c r="O25" s="478">
        <f>SUM(J25:N25)</f>
        <v>15</v>
      </c>
      <c r="P25" s="287"/>
      <c r="Q25" s="478">
        <f>SUM(R25:X25)</f>
        <v>1</v>
      </c>
      <c r="R25" s="477">
        <v>0</v>
      </c>
      <c r="S25" s="477">
        <v>0</v>
      </c>
      <c r="T25" s="477">
        <v>1</v>
      </c>
      <c r="U25" s="477">
        <v>0</v>
      </c>
      <c r="V25" s="477">
        <v>0</v>
      </c>
      <c r="W25" s="477">
        <v>0</v>
      </c>
      <c r="X25" s="477">
        <v>0</v>
      </c>
    </row>
    <row r="26" spans="1:24">
      <c r="F26" s="539" t="s">
        <v>33</v>
      </c>
      <c r="G26" s="540"/>
      <c r="H26" s="541"/>
      <c r="I26" s="221" t="s">
        <v>34</v>
      </c>
      <c r="J26" s="6" t="s">
        <v>24</v>
      </c>
      <c r="K26" s="6" t="s">
        <v>25</v>
      </c>
      <c r="L26" s="18" t="s">
        <v>83</v>
      </c>
      <c r="M26" s="6" t="s">
        <v>28</v>
      </c>
      <c r="N26" s="485" t="s">
        <v>29</v>
      </c>
      <c r="O26" s="479" t="s">
        <v>803</v>
      </c>
      <c r="P26" s="287"/>
      <c r="Q26" s="485" t="s">
        <v>807</v>
      </c>
      <c r="R26" s="479" t="s">
        <v>805</v>
      </c>
      <c r="S26" s="479" t="s">
        <v>31</v>
      </c>
      <c r="T26" s="479" t="s">
        <v>808</v>
      </c>
      <c r="U26" s="479" t="s">
        <v>771</v>
      </c>
      <c r="V26" s="479" t="s">
        <v>806</v>
      </c>
      <c r="W26" s="479" t="s">
        <v>642</v>
      </c>
      <c r="X26" s="479" t="s">
        <v>642</v>
      </c>
    </row>
    <row r="27" spans="1:24">
      <c r="A27" s="20" t="s">
        <v>68</v>
      </c>
      <c r="B27" s="20" t="s">
        <v>66</v>
      </c>
      <c r="C27" s="20" t="s">
        <v>73</v>
      </c>
      <c r="D27" s="20" t="str">
        <f>IF($F$4="","",$F$4)</f>
        <v>近接基礎１</v>
      </c>
      <c r="F27" s="226">
        <v>1</v>
      </c>
      <c r="G27" s="218" t="s">
        <v>44</v>
      </c>
      <c r="H27" s="225">
        <v>6</v>
      </c>
      <c r="I27" s="223">
        <f>K27+P27</f>
        <v>7</v>
      </c>
      <c r="J27" s="17" t="s">
        <v>16</v>
      </c>
      <c r="K27" s="19">
        <f>IF($J27 = "筋力",基本!$C$5,IF($J27 = "耐久力",基本!$C$6,IF($J27 = "敏捷力",基本!$C$7,IF($J27 = "知力",基本!$C$8,IF($J27 = "判断力",基本!$C$9,IF($J27 = "魅力",基本!$C$10,""))))))</f>
        <v>7</v>
      </c>
      <c r="L27" s="43">
        <v>0</v>
      </c>
      <c r="M27" s="43">
        <v>4</v>
      </c>
      <c r="N27" s="478">
        <f>Q27</f>
        <v>0</v>
      </c>
      <c r="O27" s="478">
        <f>SUM(L27:N27)</f>
        <v>4</v>
      </c>
      <c r="P27" s="287"/>
      <c r="Q27" s="478">
        <f>SUM(R27:X27)</f>
        <v>0</v>
      </c>
      <c r="R27" s="477">
        <v>0</v>
      </c>
      <c r="S27" s="477">
        <v>0</v>
      </c>
      <c r="T27" s="477">
        <v>0</v>
      </c>
      <c r="U27" s="477">
        <v>0</v>
      </c>
      <c r="V27" s="477">
        <v>0</v>
      </c>
      <c r="W27" s="477">
        <v>0</v>
      </c>
      <c r="X27" s="477">
        <v>0</v>
      </c>
    </row>
    <row r="28" spans="1:24">
      <c r="A28" s="20" t="s">
        <v>69</v>
      </c>
      <c r="B28" s="20" t="s">
        <v>71</v>
      </c>
      <c r="C28" s="20" t="s">
        <v>74</v>
      </c>
      <c r="D28" s="20" t="str">
        <f>IF($F$13="","",$F$13)</f>
        <v>近接基礎２</v>
      </c>
      <c r="F28" s="544" t="s">
        <v>35</v>
      </c>
      <c r="G28" s="544"/>
      <c r="H28" s="544" t="s">
        <v>36</v>
      </c>
      <c r="I28" s="544"/>
      <c r="J28" s="544"/>
      <c r="K28" s="544"/>
      <c r="L28" s="544" t="s">
        <v>37</v>
      </c>
      <c r="M28" s="544"/>
      <c r="N28" s="544"/>
    </row>
    <row r="29" spans="1:24">
      <c r="A29" s="20" t="s">
        <v>70</v>
      </c>
      <c r="B29" s="20" t="s">
        <v>72</v>
      </c>
      <c r="C29" s="20" t="s">
        <v>75</v>
      </c>
      <c r="D29" s="20" t="str">
        <f>IF($F$22="","",$F$22)</f>
        <v>パワー</v>
      </c>
      <c r="F29" s="543" t="s">
        <v>20</v>
      </c>
      <c r="G29" s="543"/>
      <c r="H29" s="543" t="s">
        <v>136</v>
      </c>
      <c r="I29" s="543"/>
      <c r="J29" s="543"/>
      <c r="K29" s="543"/>
      <c r="L29" s="5">
        <v>5</v>
      </c>
      <c r="M29" s="4" t="s">
        <v>44</v>
      </c>
      <c r="N29" s="129">
        <v>12</v>
      </c>
    </row>
    <row r="30" spans="1:24" ht="14.25" thickBot="1">
      <c r="A30" s="20" t="s">
        <v>82</v>
      </c>
      <c r="B30" s="20" t="s">
        <v>96</v>
      </c>
      <c r="C30" s="20" t="s">
        <v>76</v>
      </c>
      <c r="D30" s="20" t="str">
        <f>IF($F$31="","",$F$31)</f>
        <v>近接基礎３</v>
      </c>
    </row>
    <row r="31" spans="1:24" ht="14.25" thickBot="1">
      <c r="A31" s="20" t="s">
        <v>95</v>
      </c>
      <c r="B31" s="20"/>
      <c r="C31" s="20" t="s">
        <v>77</v>
      </c>
      <c r="D31" s="20" t="str">
        <f>IF($F$40="","",$F$40)</f>
        <v>召喚基礎</v>
      </c>
      <c r="F31" s="551" t="s">
        <v>335</v>
      </c>
      <c r="G31" s="552"/>
      <c r="H31" s="1"/>
      <c r="I31" s="1"/>
      <c r="J31" s="1"/>
      <c r="K31" s="1"/>
      <c r="L31" s="1"/>
      <c r="M31" s="1"/>
      <c r="N31" s="1"/>
      <c r="O31" s="27"/>
    </row>
    <row r="32" spans="1:24">
      <c r="A32" s="20" t="s">
        <v>98</v>
      </c>
      <c r="C32" s="20" t="s">
        <v>78</v>
      </c>
      <c r="F32" s="545" t="s">
        <v>316</v>
      </c>
      <c r="G32" s="545"/>
      <c r="H32" s="546"/>
      <c r="I32" s="546"/>
      <c r="J32" s="546"/>
      <c r="K32" s="546"/>
      <c r="L32" s="546"/>
      <c r="M32" s="546"/>
      <c r="N32" s="546"/>
      <c r="O32" s="66"/>
    </row>
    <row r="33" spans="1:24">
      <c r="A33" s="20"/>
      <c r="C33" s="20" t="s">
        <v>67</v>
      </c>
      <c r="F33" s="205" t="s">
        <v>22</v>
      </c>
      <c r="G33" s="205" t="s">
        <v>23</v>
      </c>
      <c r="H33" s="205" t="s">
        <v>24</v>
      </c>
      <c r="I33" s="205" t="s">
        <v>25</v>
      </c>
      <c r="J33" s="205" t="s">
        <v>26</v>
      </c>
      <c r="K33" s="205" t="s">
        <v>27</v>
      </c>
      <c r="L33" s="205" t="s">
        <v>83</v>
      </c>
      <c r="M33" s="205" t="s">
        <v>28</v>
      </c>
      <c r="N33" s="485" t="s">
        <v>29</v>
      </c>
      <c r="O33" s="479" t="s">
        <v>803</v>
      </c>
      <c r="P33" s="287"/>
      <c r="Q33" s="485" t="s">
        <v>804</v>
      </c>
      <c r="R33" s="479" t="s">
        <v>805</v>
      </c>
      <c r="S33" s="479" t="s">
        <v>31</v>
      </c>
      <c r="T33" s="479" t="s">
        <v>808</v>
      </c>
      <c r="U33" s="479" t="s">
        <v>771</v>
      </c>
      <c r="V33" s="479" t="s">
        <v>806</v>
      </c>
      <c r="W33" s="479" t="s">
        <v>642</v>
      </c>
      <c r="X33" s="479" t="s">
        <v>642</v>
      </c>
    </row>
    <row r="34" spans="1:24">
      <c r="C34" s="20" t="s">
        <v>79</v>
      </c>
      <c r="F34" s="207" t="s">
        <v>318</v>
      </c>
      <c r="G34" s="206">
        <f>I34+P34</f>
        <v>0</v>
      </c>
      <c r="H34" s="207" t="s">
        <v>12</v>
      </c>
      <c r="I34" s="206">
        <f>IF($H34 = "筋力",基本!$C$5,IF($H34 = "耐久力",基本!$C$6,IF($H34 = "敏捷力",基本!$C$7,IF($H34 = "知力",基本!$C$8,IF($H34 = "判断力",基本!$C$9,IF($H34 = "魅力",基本!$C$10,""))))))</f>
        <v>0</v>
      </c>
      <c r="J34" s="206">
        <f>INT($B$3/2)</f>
        <v>8</v>
      </c>
      <c r="K34" s="207">
        <v>0</v>
      </c>
      <c r="L34" s="207">
        <v>0</v>
      </c>
      <c r="M34" s="207">
        <v>0</v>
      </c>
      <c r="N34" s="478">
        <f>Q34</f>
        <v>0</v>
      </c>
      <c r="O34" s="478">
        <f>SUM(J34:N34)</f>
        <v>8</v>
      </c>
      <c r="P34" s="287"/>
      <c r="Q34" s="478">
        <f>SUM(R34:X34)</f>
        <v>0</v>
      </c>
      <c r="R34" s="477">
        <v>0</v>
      </c>
      <c r="S34" s="477">
        <v>0</v>
      </c>
      <c r="T34" s="477">
        <v>0</v>
      </c>
      <c r="U34" s="477">
        <v>0</v>
      </c>
      <c r="V34" s="477">
        <v>0</v>
      </c>
      <c r="W34" s="477">
        <v>0</v>
      </c>
      <c r="X34" s="477">
        <v>0</v>
      </c>
    </row>
    <row r="35" spans="1:24">
      <c r="C35" s="20" t="s">
        <v>80</v>
      </c>
      <c r="F35" s="539" t="s">
        <v>33</v>
      </c>
      <c r="G35" s="540"/>
      <c r="H35" s="541"/>
      <c r="I35" s="221" t="s">
        <v>34</v>
      </c>
      <c r="J35" s="205" t="s">
        <v>24</v>
      </c>
      <c r="K35" s="205" t="s">
        <v>25</v>
      </c>
      <c r="L35" s="205" t="s">
        <v>83</v>
      </c>
      <c r="M35" s="205" t="s">
        <v>28</v>
      </c>
      <c r="N35" s="485" t="s">
        <v>29</v>
      </c>
      <c r="O35" s="479" t="s">
        <v>803</v>
      </c>
      <c r="P35" s="287"/>
      <c r="Q35" s="485" t="s">
        <v>807</v>
      </c>
      <c r="R35" s="479" t="s">
        <v>805</v>
      </c>
      <c r="S35" s="479" t="s">
        <v>31</v>
      </c>
      <c r="T35" s="479" t="s">
        <v>808</v>
      </c>
      <c r="U35" s="479" t="s">
        <v>771</v>
      </c>
      <c r="V35" s="479" t="s">
        <v>806</v>
      </c>
      <c r="W35" s="479" t="s">
        <v>642</v>
      </c>
      <c r="X35" s="479" t="s">
        <v>642</v>
      </c>
    </row>
    <row r="36" spans="1:24">
      <c r="C36" s="20" t="s">
        <v>81</v>
      </c>
      <c r="F36" s="224">
        <v>1</v>
      </c>
      <c r="G36" s="218" t="s">
        <v>44</v>
      </c>
      <c r="H36" s="225">
        <v>4</v>
      </c>
      <c r="I36" s="223">
        <f>K36+P36</f>
        <v>0</v>
      </c>
      <c r="J36" s="207" t="s">
        <v>12</v>
      </c>
      <c r="K36" s="206">
        <f>IF($J36 = "筋力",基本!$C$5,IF($J36 = "耐久力",基本!$C$6,IF($J36 = "敏捷力",基本!$C$7,IF($J36 = "知力",基本!$C$8,IF($J36 = "判断力",基本!$C$9,IF($J36 = "魅力",基本!$C$10,""))))))</f>
        <v>0</v>
      </c>
      <c r="L36" s="207">
        <v>0</v>
      </c>
      <c r="M36" s="207">
        <v>0</v>
      </c>
      <c r="N36" s="478">
        <f>Q36</f>
        <v>0</v>
      </c>
      <c r="O36" s="478">
        <f>SUM(L36:N36)</f>
        <v>0</v>
      </c>
      <c r="P36" s="287"/>
      <c r="Q36" s="478">
        <f>SUM(R36:X36)</f>
        <v>0</v>
      </c>
      <c r="R36" s="477">
        <v>0</v>
      </c>
      <c r="S36" s="477">
        <v>0</v>
      </c>
      <c r="T36" s="477">
        <v>0</v>
      </c>
      <c r="U36" s="477">
        <v>0</v>
      </c>
      <c r="V36" s="477">
        <v>0</v>
      </c>
      <c r="W36" s="477">
        <v>0</v>
      </c>
      <c r="X36" s="477">
        <v>0</v>
      </c>
    </row>
    <row r="37" spans="1:24">
      <c r="C37" s="20"/>
      <c r="F37" s="544" t="s">
        <v>35</v>
      </c>
      <c r="G37" s="544"/>
      <c r="H37" s="544" t="s">
        <v>36</v>
      </c>
      <c r="I37" s="544"/>
      <c r="J37" s="544"/>
      <c r="K37" s="544"/>
      <c r="L37" s="544" t="s">
        <v>37</v>
      </c>
      <c r="M37" s="544"/>
      <c r="N37" s="544"/>
      <c r="O37" s="133"/>
    </row>
    <row r="38" spans="1:24">
      <c r="F38" s="547" t="s">
        <v>18</v>
      </c>
      <c r="G38" s="543"/>
      <c r="H38" s="547"/>
      <c r="I38" s="543"/>
      <c r="J38" s="543"/>
      <c r="K38" s="543"/>
      <c r="L38" s="207">
        <v>3</v>
      </c>
      <c r="M38" s="206" t="s">
        <v>63</v>
      </c>
      <c r="N38" s="207">
        <v>6</v>
      </c>
      <c r="O38" s="133"/>
    </row>
    <row r="39" spans="1:24" ht="14.25" thickBot="1"/>
    <row r="40" spans="1:24" ht="14.25" thickBot="1">
      <c r="F40" s="551" t="s">
        <v>321</v>
      </c>
      <c r="G40" s="552"/>
      <c r="H40" s="1"/>
      <c r="I40" s="1"/>
      <c r="J40" s="1"/>
      <c r="K40" s="1"/>
      <c r="L40" s="1"/>
      <c r="M40" s="1"/>
      <c r="N40" s="1"/>
      <c r="O40" s="27"/>
    </row>
    <row r="41" spans="1:24">
      <c r="F41" s="545"/>
      <c r="G41" s="545"/>
      <c r="H41" s="546"/>
      <c r="I41" s="546"/>
      <c r="J41" s="546"/>
      <c r="K41" s="546"/>
      <c r="L41" s="546"/>
      <c r="M41" s="546"/>
      <c r="N41" s="546"/>
      <c r="O41" s="66"/>
    </row>
    <row r="42" spans="1:24">
      <c r="F42" s="18" t="s">
        <v>22</v>
      </c>
      <c r="G42" s="18" t="s">
        <v>23</v>
      </c>
      <c r="H42" s="18" t="s">
        <v>24</v>
      </c>
      <c r="I42" s="18" t="s">
        <v>25</v>
      </c>
      <c r="J42" s="18" t="s">
        <v>26</v>
      </c>
      <c r="K42" s="18" t="s">
        <v>27</v>
      </c>
      <c r="L42" s="18" t="s">
        <v>83</v>
      </c>
      <c r="M42" s="18" t="s">
        <v>28</v>
      </c>
      <c r="N42" s="485" t="s">
        <v>29</v>
      </c>
      <c r="O42" s="479" t="s">
        <v>803</v>
      </c>
      <c r="P42" s="287"/>
      <c r="Q42" s="485" t="s">
        <v>804</v>
      </c>
      <c r="R42" s="479" t="s">
        <v>805</v>
      </c>
      <c r="S42" s="479" t="s">
        <v>31</v>
      </c>
      <c r="T42" s="479" t="s">
        <v>808</v>
      </c>
      <c r="U42" s="479" t="s">
        <v>771</v>
      </c>
      <c r="V42" s="479" t="s">
        <v>806</v>
      </c>
      <c r="W42" s="479" t="s">
        <v>642</v>
      </c>
      <c r="X42" s="479" t="s">
        <v>642</v>
      </c>
    </row>
    <row r="43" spans="1:24">
      <c r="F43" s="63" t="s">
        <v>64</v>
      </c>
      <c r="G43" s="61">
        <f>I43+P43</f>
        <v>0</v>
      </c>
      <c r="H43" s="50" t="s">
        <v>12</v>
      </c>
      <c r="I43" s="19">
        <f>IF($H43 = "筋力",基本!$C$5,IF($H43 = "耐久力",基本!$C$6,IF($H43 = "敏捷力",基本!$C$7,IF($H43 = "知力",基本!$C$8,IF($H43 = "判断力",基本!$C$9,IF($H43 = "魅力",基本!$C$10,""))))))</f>
        <v>0</v>
      </c>
      <c r="J43" s="19">
        <f>INT($B$3/2)</f>
        <v>8</v>
      </c>
      <c r="K43" s="17">
        <v>0</v>
      </c>
      <c r="L43" s="17">
        <v>2</v>
      </c>
      <c r="M43" s="17">
        <v>4</v>
      </c>
      <c r="N43" s="478">
        <f>Q43</f>
        <v>1</v>
      </c>
      <c r="O43" s="478">
        <f>SUM(J43:N43)</f>
        <v>15</v>
      </c>
      <c r="P43" s="287"/>
      <c r="Q43" s="478">
        <f>SUM(R43:X43)</f>
        <v>1</v>
      </c>
      <c r="R43" s="477">
        <v>0</v>
      </c>
      <c r="S43" s="477">
        <v>0</v>
      </c>
      <c r="T43" s="477">
        <v>1</v>
      </c>
      <c r="U43" s="477">
        <v>0</v>
      </c>
      <c r="V43" s="477">
        <v>0</v>
      </c>
      <c r="W43" s="477">
        <v>0</v>
      </c>
      <c r="X43" s="477">
        <v>0</v>
      </c>
    </row>
    <row r="44" spans="1:24">
      <c r="F44" s="539" t="s">
        <v>4</v>
      </c>
      <c r="G44" s="540"/>
      <c r="H44" s="541"/>
      <c r="I44" s="221" t="s">
        <v>34</v>
      </c>
      <c r="J44" s="18" t="s">
        <v>24</v>
      </c>
      <c r="K44" s="18" t="s">
        <v>25</v>
      </c>
      <c r="L44" s="18" t="s">
        <v>83</v>
      </c>
      <c r="M44" s="18" t="s">
        <v>28</v>
      </c>
      <c r="N44" s="485" t="s">
        <v>29</v>
      </c>
      <c r="O44" s="479" t="s">
        <v>803</v>
      </c>
      <c r="P44" s="287"/>
      <c r="Q44" s="485" t="s">
        <v>807</v>
      </c>
      <c r="R44" s="479" t="s">
        <v>805</v>
      </c>
      <c r="S44" s="479" t="s">
        <v>31</v>
      </c>
      <c r="T44" s="479" t="s">
        <v>808</v>
      </c>
      <c r="U44" s="479" t="s">
        <v>771</v>
      </c>
      <c r="V44" s="479" t="s">
        <v>806</v>
      </c>
      <c r="W44" s="479" t="s">
        <v>642</v>
      </c>
      <c r="X44" s="479" t="s">
        <v>642</v>
      </c>
    </row>
    <row r="45" spans="1:24">
      <c r="F45" s="224">
        <v>1</v>
      </c>
      <c r="G45" s="218" t="s">
        <v>44</v>
      </c>
      <c r="H45" s="225">
        <v>4</v>
      </c>
      <c r="I45" s="223">
        <f>K45+P45</f>
        <v>0</v>
      </c>
      <c r="J45" s="50" t="s">
        <v>12</v>
      </c>
      <c r="K45" s="19">
        <f>IF($J45 = "筋力",基本!$C$5,IF($J45 = "耐久力",基本!$C$6,IF($J45 = "敏捷力",基本!$C$7,IF($J45 = "知力",基本!$C$8,IF($J45 = "判断力",基本!$C$9,IF($J45 = "魅力",基本!$C$10,""))))))</f>
        <v>0</v>
      </c>
      <c r="L45" s="17">
        <v>0</v>
      </c>
      <c r="M45" s="17">
        <v>4</v>
      </c>
      <c r="N45" s="478">
        <f>Q45</f>
        <v>0</v>
      </c>
      <c r="O45" s="478">
        <f>SUM(L45:N45)</f>
        <v>4</v>
      </c>
      <c r="P45" s="287"/>
      <c r="Q45" s="478">
        <f>SUM(R45:X45)</f>
        <v>0</v>
      </c>
      <c r="R45" s="477">
        <v>0</v>
      </c>
      <c r="S45" s="477">
        <v>0</v>
      </c>
      <c r="T45" s="477">
        <v>0</v>
      </c>
      <c r="U45" s="477">
        <v>0</v>
      </c>
      <c r="V45" s="477">
        <v>0</v>
      </c>
      <c r="W45" s="477">
        <v>0</v>
      </c>
      <c r="X45" s="477">
        <v>0</v>
      </c>
    </row>
    <row r="46" spans="1:24">
      <c r="F46" s="544" t="s">
        <v>35</v>
      </c>
      <c r="G46" s="544"/>
      <c r="H46" s="539" t="s">
        <v>36</v>
      </c>
      <c r="I46" s="540"/>
      <c r="J46" s="540"/>
      <c r="K46" s="541"/>
      <c r="L46" s="539" t="s">
        <v>3</v>
      </c>
      <c r="M46" s="540"/>
      <c r="N46" s="541"/>
      <c r="O46"/>
    </row>
    <row r="47" spans="1:24">
      <c r="F47" s="547" t="s">
        <v>18</v>
      </c>
      <c r="G47" s="543"/>
      <c r="H47" s="543"/>
      <c r="I47" s="543"/>
      <c r="J47" s="543"/>
      <c r="K47" s="543"/>
      <c r="L47" s="17">
        <v>5</v>
      </c>
      <c r="M47" s="19" t="s">
        <v>110</v>
      </c>
      <c r="N47" s="17">
        <v>12</v>
      </c>
      <c r="O47"/>
    </row>
    <row r="48" spans="1:24">
      <c r="O48"/>
    </row>
  </sheetData>
  <mergeCells count="44">
    <mergeCell ref="F47:G47"/>
    <mergeCell ref="H47:K47"/>
    <mergeCell ref="F4:G4"/>
    <mergeCell ref="F41:N41"/>
    <mergeCell ref="F46:G46"/>
    <mergeCell ref="H46:K46"/>
    <mergeCell ref="L46:N46"/>
    <mergeCell ref="F22:G22"/>
    <mergeCell ref="F31:G31"/>
    <mergeCell ref="F40:G40"/>
    <mergeCell ref="F5:N5"/>
    <mergeCell ref="L37:N37"/>
    <mergeCell ref="F38:G38"/>
    <mergeCell ref="H38:K38"/>
    <mergeCell ref="F13:G13"/>
    <mergeCell ref="F44:H44"/>
    <mergeCell ref="B1:D1"/>
    <mergeCell ref="B2:D2"/>
    <mergeCell ref="F37:G37"/>
    <mergeCell ref="H37:K37"/>
    <mergeCell ref="F29:G29"/>
    <mergeCell ref="H29:K29"/>
    <mergeCell ref="F23:N23"/>
    <mergeCell ref="F28:G28"/>
    <mergeCell ref="H28:K28"/>
    <mergeCell ref="L28:N28"/>
    <mergeCell ref="F20:G20"/>
    <mergeCell ref="F35:H35"/>
    <mergeCell ref="F26:H26"/>
    <mergeCell ref="F17:H17"/>
    <mergeCell ref="F8:H8"/>
    <mergeCell ref="F32:N32"/>
    <mergeCell ref="A22:A23"/>
    <mergeCell ref="A21:C21"/>
    <mergeCell ref="H20:K20"/>
    <mergeCell ref="L10:N10"/>
    <mergeCell ref="F19:G19"/>
    <mergeCell ref="H19:K19"/>
    <mergeCell ref="L19:N19"/>
    <mergeCell ref="F14:N14"/>
    <mergeCell ref="F10:G10"/>
    <mergeCell ref="F11:G11"/>
    <mergeCell ref="H10:K10"/>
    <mergeCell ref="H11:K11"/>
  </mergeCells>
  <phoneticPr fontId="1"/>
  <dataValidations count="1">
    <dataValidation type="list" allowBlank="1" showInputMessage="1" showErrorMessage="1" sqref="H7 J45 H43 J18 J9 J27 H25 H16 H34 J36">
      <formula1>$A$5:$A$10</formula1>
    </dataValidation>
  </dataValidations>
  <pageMargins left="0.31496062992125984" right="0.31496062992125984" top="0.74803149606299213" bottom="0.19685039370078741" header="0.31496062992125984" footer="0.31496062992125984"/>
  <pageSetup paperSize="9" orientation="landscape" horizontalDpi="300" verticalDpi="300" r:id="rId1"/>
  <headerFooter>
    <oddHeader>&amp;Cスミス&amp;R&amp;D</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9"/>
  <sheetViews>
    <sheetView workbookViewId="0">
      <selection activeCell="A31" sqref="A31:G32"/>
    </sheetView>
  </sheetViews>
  <sheetFormatPr defaultRowHeight="13.5"/>
  <cols>
    <col min="1" max="1" width="7.875" style="389" customWidth="1"/>
    <col min="2" max="2" width="8.5" style="389" customWidth="1"/>
    <col min="3" max="3" width="6.625" style="389" customWidth="1"/>
    <col min="4" max="4" width="15.75" style="389" customWidth="1"/>
    <col min="5" max="6" width="15.75" style="388" customWidth="1"/>
    <col min="7" max="7" width="18.25" style="388" customWidth="1"/>
    <col min="8" max="8" width="17.375" style="388" customWidth="1"/>
    <col min="9" max="9" width="14.625" style="388" customWidth="1"/>
    <col min="10" max="10" width="8.375" style="388" customWidth="1"/>
    <col min="11" max="11" width="7.5" style="388" customWidth="1"/>
    <col min="12" max="12" width="7.875" style="389" customWidth="1"/>
    <col min="13" max="13" width="9.25" style="389" customWidth="1"/>
    <col min="14" max="14" width="12.375" style="389" customWidth="1"/>
    <col min="15" max="16384" width="9" style="389"/>
  </cols>
  <sheetData>
    <row r="1" spans="1:12" ht="21">
      <c r="A1" s="384" t="s">
        <v>649</v>
      </c>
      <c r="B1" s="822">
        <v>8</v>
      </c>
      <c r="C1" s="823"/>
      <c r="D1" s="385" t="s">
        <v>650</v>
      </c>
      <c r="E1" s="386" t="s">
        <v>651</v>
      </c>
      <c r="F1" s="824"/>
      <c r="G1" s="825"/>
      <c r="H1" s="387" t="s">
        <v>652</v>
      </c>
    </row>
    <row r="2" spans="1:12" ht="24.75" customHeight="1">
      <c r="A2" s="385" t="s">
        <v>653</v>
      </c>
      <c r="B2" s="826" t="s">
        <v>703</v>
      </c>
      <c r="C2" s="826"/>
      <c r="D2" s="826"/>
      <c r="E2" s="826"/>
      <c r="F2" s="826"/>
      <c r="G2" s="826"/>
      <c r="H2" s="387" t="s">
        <v>655</v>
      </c>
    </row>
    <row r="3" spans="1:12" ht="19.5" customHeight="1">
      <c r="A3" s="390" t="s">
        <v>656</v>
      </c>
      <c r="B3" s="388"/>
      <c r="C3" s="388"/>
      <c r="D3" s="388"/>
      <c r="I3" s="387"/>
    </row>
    <row r="4" spans="1:12">
      <c r="A4" s="391" t="s">
        <v>657</v>
      </c>
      <c r="B4" s="827" t="s">
        <v>704</v>
      </c>
      <c r="C4" s="828"/>
      <c r="D4" s="828"/>
      <c r="E4" s="828"/>
      <c r="F4" s="828"/>
      <c r="G4" s="829"/>
      <c r="H4" s="830" t="s">
        <v>339</v>
      </c>
      <c r="I4" s="831"/>
      <c r="J4" s="831"/>
      <c r="K4" s="831"/>
      <c r="L4" s="832"/>
    </row>
    <row r="5" spans="1:12">
      <c r="A5" s="392" t="s">
        <v>659</v>
      </c>
      <c r="B5" s="833" t="s">
        <v>705</v>
      </c>
      <c r="C5" s="834"/>
      <c r="D5" s="835"/>
      <c r="E5" s="393" t="s">
        <v>661</v>
      </c>
      <c r="F5" s="827" t="s">
        <v>706</v>
      </c>
      <c r="G5" s="829"/>
      <c r="H5" s="393" t="s">
        <v>663</v>
      </c>
      <c r="I5" s="394" t="s">
        <v>664</v>
      </c>
      <c r="J5" s="394" t="s">
        <v>665</v>
      </c>
    </row>
    <row r="6" spans="1:12">
      <c r="A6" s="392" t="s">
        <v>666</v>
      </c>
      <c r="B6" s="833" t="s">
        <v>707</v>
      </c>
      <c r="C6" s="834"/>
      <c r="D6" s="835"/>
      <c r="E6" s="393" t="s">
        <v>668</v>
      </c>
      <c r="F6" s="827" t="s">
        <v>708</v>
      </c>
      <c r="G6" s="829"/>
      <c r="H6" s="393" t="s">
        <v>670</v>
      </c>
      <c r="I6" s="394"/>
      <c r="J6" s="394"/>
    </row>
    <row r="7" spans="1:12">
      <c r="A7" s="392" t="s">
        <v>671</v>
      </c>
      <c r="B7" s="827" t="s">
        <v>709</v>
      </c>
      <c r="C7" s="828"/>
      <c r="D7" s="829"/>
      <c r="E7" s="393" t="s">
        <v>672</v>
      </c>
      <c r="F7" s="827" t="s">
        <v>710</v>
      </c>
      <c r="G7" s="829"/>
      <c r="H7" s="393" t="s">
        <v>674</v>
      </c>
      <c r="I7" s="394" t="s">
        <v>675</v>
      </c>
      <c r="J7" s="387" t="s">
        <v>676</v>
      </c>
      <c r="L7" s="395" t="s">
        <v>343</v>
      </c>
    </row>
    <row r="8" spans="1:12" ht="13.5" customHeight="1">
      <c r="A8" s="396"/>
      <c r="B8" s="868" t="s">
        <v>711</v>
      </c>
      <c r="C8" s="837"/>
      <c r="D8" s="837"/>
      <c r="E8" s="837"/>
      <c r="F8" s="837"/>
      <c r="G8" s="838"/>
      <c r="H8" s="393" t="s">
        <v>678</v>
      </c>
      <c r="I8" s="397" t="s">
        <v>679</v>
      </c>
      <c r="J8" s="398" t="e">
        <f>IF(I8="",0,VLOOKUP(I8,#REF!:#REF!,3,FALSE))</f>
        <v>#REF!</v>
      </c>
      <c r="K8" s="394" t="s">
        <v>89</v>
      </c>
      <c r="L8" s="399" t="e">
        <f>$J$8+$L$9+$I$9</f>
        <v>#REF!</v>
      </c>
    </row>
    <row r="9" spans="1:12" ht="13.5" customHeight="1">
      <c r="A9" s="396"/>
      <c r="B9" s="839" t="s">
        <v>712</v>
      </c>
      <c r="C9" s="840"/>
      <c r="D9" s="840"/>
      <c r="E9" s="840"/>
      <c r="F9" s="840"/>
      <c r="G9" s="841"/>
      <c r="H9" s="393" t="s">
        <v>681</v>
      </c>
      <c r="I9" s="394">
        <v>0</v>
      </c>
      <c r="J9" s="842" t="s">
        <v>682</v>
      </c>
      <c r="K9" s="843"/>
      <c r="L9" s="398" t="e">
        <f>IF($I$7=#REF!,#REF!,IF($I$7=#REF!,#REF!,IF($I$7=#REF!,#REF!,IF($I$7=#REF!,#REF!,IF($I$7=#REF!,#REF!,0)))))</f>
        <v>#REF!</v>
      </c>
    </row>
    <row r="10" spans="1:12" ht="13.5" customHeight="1">
      <c r="A10" s="396"/>
      <c r="B10" s="844" t="s">
        <v>713</v>
      </c>
      <c r="C10" s="840"/>
      <c r="D10" s="840"/>
      <c r="E10" s="840"/>
      <c r="F10" s="840"/>
      <c r="G10" s="841"/>
      <c r="H10" s="400" t="s">
        <v>684</v>
      </c>
      <c r="I10" s="397" t="s">
        <v>679</v>
      </c>
      <c r="J10" s="398" t="e">
        <f>IF(I10="",0,VLOOKUP(I10,#REF!:#REF!,3,FALSE))</f>
        <v>#REF!</v>
      </c>
      <c r="L10" s="388"/>
    </row>
    <row r="11" spans="1:12" ht="13.5" customHeight="1">
      <c r="A11" s="396"/>
      <c r="B11" s="844" t="s">
        <v>714</v>
      </c>
      <c r="C11" s="840"/>
      <c r="D11" s="840"/>
      <c r="E11" s="840"/>
      <c r="F11" s="840"/>
      <c r="G11" s="841"/>
      <c r="H11" s="393" t="s">
        <v>686</v>
      </c>
      <c r="I11" s="394">
        <v>0</v>
      </c>
      <c r="J11" s="842" t="s">
        <v>687</v>
      </c>
      <c r="K11" s="843"/>
      <c r="L11" s="398" t="e">
        <f>IF($I$7=#REF!,#REF!,IF($I$7=#REF!,#REF!,IF($I$7=#REF!,#REF!,IF($I$7=#REF!,#REF!,IF($I$7=#REF!,#REF!,0)))))</f>
        <v>#REF!</v>
      </c>
    </row>
    <row r="12" spans="1:12" ht="13.5" customHeight="1">
      <c r="A12" s="396"/>
      <c r="B12" s="844"/>
      <c r="C12" s="840"/>
      <c r="D12" s="840"/>
      <c r="E12" s="840"/>
      <c r="F12" s="840"/>
      <c r="G12" s="841"/>
      <c r="J12" s="389"/>
      <c r="K12" s="389"/>
      <c r="L12" s="395" t="s">
        <v>343</v>
      </c>
    </row>
    <row r="13" spans="1:12" ht="13.5" customHeight="1">
      <c r="A13" s="396"/>
      <c r="B13" s="852" t="s">
        <v>715</v>
      </c>
      <c r="C13" s="840"/>
      <c r="D13" s="840"/>
      <c r="E13" s="840"/>
      <c r="F13" s="840"/>
      <c r="G13" s="841"/>
      <c r="H13" s="393" t="s">
        <v>689</v>
      </c>
      <c r="I13" s="394">
        <v>1</v>
      </c>
      <c r="J13" s="393" t="s">
        <v>690</v>
      </c>
      <c r="K13" s="394">
        <v>6</v>
      </c>
      <c r="L13" s="399" t="e">
        <f>$J$10+$L$11+$I$11</f>
        <v>#REF!</v>
      </c>
    </row>
    <row r="14" spans="1:12" ht="13.5" customHeight="1">
      <c r="A14" s="396"/>
      <c r="B14" s="845" t="s">
        <v>716</v>
      </c>
      <c r="C14" s="848"/>
      <c r="D14" s="848"/>
      <c r="E14" s="848"/>
      <c r="F14" s="848"/>
      <c r="G14" s="849"/>
      <c r="H14" s="393" t="s">
        <v>691</v>
      </c>
      <c r="I14" s="401" t="e">
        <f>IF($I$7=#REF!,#REF!,IF($I$7=#REF!,#REF!,IF($I$7=#REF!,#REF!,IF($I$7=#REF!,#REF!,IF($I$7=#REF!,#REF!,0)))))</f>
        <v>#REF!</v>
      </c>
      <c r="J14" s="393" t="s">
        <v>690</v>
      </c>
      <c r="K14" s="401" t="e">
        <f>IF($I$7=#REF!,#REF!,IF($I$7=#REF!,#REF!,IF($I$7=#REF!,#REF!,IF($I$7=#REF!,#REF!,IF($I$7=#REF!,#REF!,0)))))</f>
        <v>#REF!</v>
      </c>
      <c r="L14" s="399" t="e">
        <f>$J$10+$L$11+$I$11+($I$13*$K$13)</f>
        <v>#REF!</v>
      </c>
    </row>
    <row r="15" spans="1:12" ht="13.5" customHeight="1">
      <c r="A15" s="396"/>
      <c r="B15" s="851" t="s">
        <v>717</v>
      </c>
      <c r="C15" s="846"/>
      <c r="D15" s="846"/>
      <c r="E15" s="846"/>
      <c r="F15" s="846"/>
      <c r="G15" s="847"/>
      <c r="H15" s="393" t="s">
        <v>694</v>
      </c>
      <c r="I15" s="394"/>
      <c r="J15" s="406" t="s">
        <v>342</v>
      </c>
      <c r="K15" s="397" t="s">
        <v>679</v>
      </c>
      <c r="L15" s="407" t="e">
        <f>IF(K15="",0,VLOOKUP(K15,#REF!:#REF!,3,FALSE))</f>
        <v>#REF!</v>
      </c>
    </row>
    <row r="16" spans="1:12" ht="13.5" customHeight="1">
      <c r="A16" s="396"/>
      <c r="B16" s="851" t="s">
        <v>718</v>
      </c>
      <c r="C16" s="846"/>
      <c r="D16" s="846"/>
      <c r="E16" s="846"/>
      <c r="F16" s="846"/>
      <c r="G16" s="847"/>
    </row>
    <row r="17" spans="1:11" ht="13.5" customHeight="1">
      <c r="A17" s="396"/>
      <c r="B17" s="845" t="s">
        <v>719</v>
      </c>
      <c r="C17" s="848"/>
      <c r="D17" s="848"/>
      <c r="E17" s="848"/>
      <c r="F17" s="848"/>
      <c r="G17" s="849"/>
      <c r="J17" s="389"/>
      <c r="K17" s="389"/>
    </row>
    <row r="18" spans="1:11" ht="13.5" customHeight="1">
      <c r="A18" s="396"/>
      <c r="B18" s="851" t="s">
        <v>720</v>
      </c>
      <c r="C18" s="846"/>
      <c r="D18" s="846"/>
      <c r="E18" s="846"/>
      <c r="F18" s="846"/>
      <c r="G18" s="847"/>
    </row>
    <row r="19" spans="1:11" ht="13.5" customHeight="1">
      <c r="A19" s="396"/>
      <c r="B19" s="851" t="s">
        <v>721</v>
      </c>
      <c r="C19" s="846"/>
      <c r="D19" s="846"/>
      <c r="E19" s="846"/>
      <c r="F19" s="846"/>
      <c r="G19" s="847"/>
      <c r="J19" s="389"/>
      <c r="K19" s="389"/>
    </row>
    <row r="20" spans="1:11" ht="13.5" customHeight="1">
      <c r="A20" s="396"/>
      <c r="B20" s="851" t="s">
        <v>722</v>
      </c>
      <c r="C20" s="846"/>
      <c r="D20" s="846"/>
      <c r="E20" s="846"/>
      <c r="F20" s="846"/>
      <c r="G20" s="847"/>
      <c r="J20" s="389"/>
      <c r="K20" s="389"/>
    </row>
    <row r="21" spans="1:11" ht="13.5" customHeight="1">
      <c r="A21" s="396"/>
      <c r="B21" s="851" t="s">
        <v>723</v>
      </c>
      <c r="C21" s="846"/>
      <c r="D21" s="846"/>
      <c r="E21" s="846"/>
      <c r="F21" s="846"/>
      <c r="G21" s="847"/>
    </row>
    <row r="22" spans="1:11" ht="13.5" customHeight="1">
      <c r="A22" s="396"/>
      <c r="B22" s="851"/>
      <c r="C22" s="846"/>
      <c r="D22" s="846"/>
      <c r="E22" s="846"/>
      <c r="F22" s="846"/>
      <c r="G22" s="847"/>
      <c r="J22" s="389"/>
      <c r="K22" s="389"/>
    </row>
    <row r="23" spans="1:11" ht="13.5" customHeight="1">
      <c r="A23" s="396"/>
      <c r="B23" s="402"/>
      <c r="C23" s="850" t="s">
        <v>724</v>
      </c>
      <c r="D23" s="850"/>
      <c r="E23" s="850" t="s">
        <v>725</v>
      </c>
      <c r="F23" s="850"/>
      <c r="G23" s="869"/>
      <c r="J23" s="389"/>
      <c r="K23" s="389"/>
    </row>
    <row r="24" spans="1:11" ht="13.5" customHeight="1">
      <c r="A24" s="396"/>
      <c r="B24" s="402"/>
      <c r="C24" s="846" t="s">
        <v>726</v>
      </c>
      <c r="D24" s="846"/>
      <c r="E24" s="846" t="s">
        <v>727</v>
      </c>
      <c r="F24" s="846"/>
      <c r="G24" s="847"/>
    </row>
    <row r="25" spans="1:11" ht="13.5" customHeight="1">
      <c r="A25" s="396"/>
      <c r="B25" s="402"/>
      <c r="C25" s="846" t="s">
        <v>728</v>
      </c>
      <c r="D25" s="846"/>
      <c r="E25" s="846" t="s">
        <v>729</v>
      </c>
      <c r="F25" s="846"/>
      <c r="G25" s="847"/>
      <c r="J25" s="389"/>
      <c r="K25" s="389"/>
    </row>
    <row r="26" spans="1:11" ht="13.5" customHeight="1">
      <c r="A26" s="396"/>
      <c r="B26" s="411"/>
      <c r="C26" s="846"/>
      <c r="D26" s="846"/>
      <c r="E26" s="846" t="s">
        <v>730</v>
      </c>
      <c r="F26" s="846"/>
      <c r="G26" s="847"/>
      <c r="J26" s="389"/>
      <c r="K26" s="389"/>
    </row>
    <row r="27" spans="1:11" ht="13.5" customHeight="1">
      <c r="A27" s="396"/>
      <c r="B27" s="411"/>
      <c r="C27" s="846" t="s">
        <v>696</v>
      </c>
      <c r="D27" s="846"/>
      <c r="E27" s="846" t="s">
        <v>731</v>
      </c>
      <c r="F27" s="846"/>
      <c r="G27" s="847"/>
    </row>
    <row r="28" spans="1:11" ht="13.5" customHeight="1">
      <c r="A28" s="396"/>
      <c r="B28" s="411"/>
      <c r="C28" s="846"/>
      <c r="D28" s="846"/>
      <c r="E28" s="846" t="s">
        <v>732</v>
      </c>
      <c r="F28" s="846"/>
      <c r="G28" s="847"/>
      <c r="J28" s="389"/>
      <c r="K28" s="389"/>
    </row>
    <row r="29" spans="1:11" ht="13.5" customHeight="1">
      <c r="A29" s="396"/>
      <c r="B29" s="411"/>
      <c r="C29" s="846" t="s">
        <v>697</v>
      </c>
      <c r="D29" s="846"/>
      <c r="E29" s="846" t="s">
        <v>731</v>
      </c>
      <c r="F29" s="846"/>
      <c r="G29" s="847"/>
      <c r="J29" s="389"/>
      <c r="K29" s="389"/>
    </row>
    <row r="30" spans="1:11" ht="13.5" customHeight="1">
      <c r="A30" s="396"/>
      <c r="B30" s="411"/>
      <c r="C30" s="846"/>
      <c r="D30" s="846"/>
      <c r="E30" s="846" t="s">
        <v>733</v>
      </c>
      <c r="F30" s="846"/>
      <c r="G30" s="847"/>
    </row>
    <row r="31" spans="1:11" ht="13.5" customHeight="1">
      <c r="A31" s="396"/>
      <c r="B31" s="411"/>
      <c r="C31" s="846" t="s">
        <v>698</v>
      </c>
      <c r="D31" s="846"/>
      <c r="E31" s="846" t="s">
        <v>734</v>
      </c>
      <c r="F31" s="846"/>
      <c r="G31" s="847"/>
      <c r="J31" s="389"/>
      <c r="K31" s="389"/>
    </row>
    <row r="32" spans="1:11" ht="13.5" customHeight="1">
      <c r="A32" s="396"/>
      <c r="B32" s="845"/>
      <c r="C32" s="846"/>
      <c r="D32" s="846"/>
      <c r="E32" s="846"/>
      <c r="F32" s="846"/>
      <c r="G32" s="847"/>
      <c r="J32" s="389"/>
      <c r="K32" s="389"/>
    </row>
    <row r="33" spans="1:12" ht="13.5" customHeight="1">
      <c r="A33" s="396"/>
      <c r="B33" s="845" t="s">
        <v>735</v>
      </c>
      <c r="C33" s="846"/>
      <c r="D33" s="846"/>
      <c r="E33" s="846"/>
      <c r="F33" s="846"/>
      <c r="G33" s="847"/>
    </row>
    <row r="34" spans="1:12" ht="13.5" customHeight="1">
      <c r="A34" s="396"/>
      <c r="B34" s="851" t="s">
        <v>736</v>
      </c>
      <c r="C34" s="846"/>
      <c r="D34" s="846"/>
      <c r="E34" s="846"/>
      <c r="F34" s="846"/>
      <c r="G34" s="847"/>
      <c r="J34" s="389"/>
      <c r="K34" s="389"/>
    </row>
    <row r="35" spans="1:12" ht="13.5" customHeight="1">
      <c r="A35" s="396"/>
      <c r="B35" s="851" t="s">
        <v>737</v>
      </c>
      <c r="C35" s="846"/>
      <c r="D35" s="846"/>
      <c r="E35" s="846"/>
      <c r="F35" s="846"/>
      <c r="G35" s="847"/>
      <c r="J35" s="389"/>
      <c r="K35" s="389"/>
    </row>
    <row r="36" spans="1:12" ht="13.5" customHeight="1">
      <c r="A36" s="396"/>
      <c r="B36" s="851" t="s">
        <v>738</v>
      </c>
      <c r="C36" s="846"/>
      <c r="D36" s="846"/>
      <c r="E36" s="846"/>
      <c r="F36" s="846"/>
      <c r="G36" s="847"/>
    </row>
    <row r="37" spans="1:12" ht="13.5" customHeight="1">
      <c r="A37" s="396"/>
      <c r="B37" s="851" t="s">
        <v>739</v>
      </c>
      <c r="C37" s="846"/>
      <c r="D37" s="846"/>
      <c r="E37" s="846"/>
      <c r="F37" s="846"/>
      <c r="G37" s="847"/>
      <c r="J37" s="389"/>
      <c r="K37" s="389"/>
    </row>
    <row r="38" spans="1:12" ht="13.5" customHeight="1">
      <c r="A38" s="396"/>
      <c r="B38" s="845" t="s">
        <v>740</v>
      </c>
      <c r="C38" s="846"/>
      <c r="D38" s="846"/>
      <c r="E38" s="846"/>
      <c r="F38" s="846"/>
      <c r="G38" s="847"/>
      <c r="J38" s="389"/>
      <c r="K38" s="389"/>
    </row>
    <row r="39" spans="1:12" ht="13.5" customHeight="1">
      <c r="A39" s="396"/>
      <c r="B39" s="851" t="s">
        <v>741</v>
      </c>
      <c r="C39" s="846"/>
      <c r="D39" s="846"/>
      <c r="E39" s="846"/>
      <c r="F39" s="846"/>
      <c r="G39" s="847"/>
    </row>
    <row r="40" spans="1:12" ht="13.5" customHeight="1">
      <c r="A40" s="396"/>
      <c r="B40" s="845" t="s">
        <v>742</v>
      </c>
      <c r="C40" s="846"/>
      <c r="D40" s="846"/>
      <c r="E40" s="846"/>
      <c r="F40" s="846"/>
      <c r="G40" s="847"/>
      <c r="J40" s="389"/>
      <c r="K40" s="389"/>
    </row>
    <row r="41" spans="1:12" ht="13.5" customHeight="1">
      <c r="A41" s="396"/>
      <c r="B41" s="845" t="s">
        <v>743</v>
      </c>
      <c r="C41" s="846"/>
      <c r="D41" s="846"/>
      <c r="E41" s="846"/>
      <c r="F41" s="846"/>
      <c r="G41" s="847"/>
      <c r="J41" s="389"/>
      <c r="K41" s="389"/>
    </row>
    <row r="42" spans="1:12" ht="13.5" customHeight="1">
      <c r="A42" s="396"/>
      <c r="B42" s="845"/>
      <c r="C42" s="846"/>
      <c r="D42" s="846"/>
      <c r="E42" s="846"/>
      <c r="F42" s="846"/>
      <c r="G42" s="847"/>
      <c r="J42" s="389"/>
      <c r="K42" s="389"/>
    </row>
    <row r="43" spans="1:12" ht="13.5" customHeight="1">
      <c r="A43" s="412"/>
      <c r="B43" s="853"/>
      <c r="C43" s="854"/>
      <c r="D43" s="854"/>
      <c r="E43" s="854"/>
      <c r="F43" s="854"/>
      <c r="G43" s="855"/>
      <c r="J43" s="389"/>
      <c r="K43" s="389"/>
    </row>
    <row r="44" spans="1:12">
      <c r="A44" s="854"/>
      <c r="B44" s="854"/>
      <c r="C44" s="854"/>
      <c r="D44" s="854"/>
      <c r="E44" s="854"/>
      <c r="F44" s="854"/>
      <c r="G44" s="854"/>
    </row>
    <row r="45" spans="1:12" ht="13.5" customHeight="1">
      <c r="A45" s="856" t="s">
        <v>701</v>
      </c>
      <c r="B45" s="857"/>
      <c r="C45" s="857"/>
      <c r="D45" s="857"/>
      <c r="E45" s="857"/>
      <c r="F45" s="857"/>
      <c r="G45" s="858"/>
    </row>
    <row r="46" spans="1:12" s="413" customFormat="1" ht="13.5" customHeight="1">
      <c r="A46" s="844"/>
      <c r="B46" s="840"/>
      <c r="C46" s="840"/>
      <c r="D46" s="840"/>
      <c r="E46" s="840"/>
      <c r="F46" s="840"/>
      <c r="G46" s="841"/>
      <c r="L46" s="414"/>
    </row>
    <row r="47" spans="1:12" s="415" customFormat="1" ht="13.5" customHeight="1">
      <c r="A47" s="859"/>
      <c r="B47" s="860"/>
      <c r="C47" s="860"/>
      <c r="D47" s="860"/>
      <c r="E47" s="860"/>
      <c r="F47" s="860"/>
      <c r="G47" s="861"/>
      <c r="L47" s="416"/>
    </row>
    <row r="48" spans="1:12" s="415" customFormat="1" ht="13.5" customHeight="1">
      <c r="A48" s="862"/>
      <c r="B48" s="863"/>
      <c r="C48" s="863"/>
      <c r="D48" s="863"/>
      <c r="E48" s="863"/>
      <c r="F48" s="863"/>
      <c r="G48" s="864"/>
      <c r="L48" s="416"/>
    </row>
    <row r="49" spans="1:12" s="416" customFormat="1" ht="13.5" customHeight="1">
      <c r="A49" s="844"/>
      <c r="B49" s="840"/>
      <c r="C49" s="840"/>
      <c r="D49" s="840"/>
      <c r="E49" s="840"/>
      <c r="F49" s="840"/>
      <c r="G49" s="841"/>
      <c r="H49" s="415"/>
      <c r="I49" s="415"/>
      <c r="J49" s="415"/>
      <c r="K49" s="415"/>
    </row>
    <row r="50" spans="1:12" s="413" customFormat="1" ht="13.5" customHeight="1">
      <c r="A50" s="844"/>
      <c r="B50" s="840"/>
      <c r="C50" s="840"/>
      <c r="D50" s="840"/>
      <c r="E50" s="840"/>
      <c r="F50" s="840"/>
      <c r="G50" s="841"/>
      <c r="L50" s="414"/>
    </row>
    <row r="51" spans="1:12" s="413" customFormat="1" ht="13.5" customHeight="1">
      <c r="A51" s="844"/>
      <c r="B51" s="840"/>
      <c r="C51" s="840"/>
      <c r="D51" s="840"/>
      <c r="E51" s="840"/>
      <c r="F51" s="840"/>
      <c r="G51" s="841"/>
      <c r="L51" s="414"/>
    </row>
    <row r="52" spans="1:12" s="414" customFormat="1" ht="13.5" customHeight="1">
      <c r="A52" s="844"/>
      <c r="B52" s="840"/>
      <c r="C52" s="840"/>
      <c r="D52" s="840"/>
      <c r="E52" s="840"/>
      <c r="F52" s="840"/>
      <c r="G52" s="841"/>
      <c r="H52" s="413"/>
      <c r="I52" s="413"/>
      <c r="J52" s="413"/>
      <c r="K52" s="413"/>
    </row>
    <row r="53" spans="1:12" s="413" customFormat="1" ht="13.5" customHeight="1">
      <c r="A53" s="844"/>
      <c r="B53" s="840"/>
      <c r="C53" s="840"/>
      <c r="D53" s="840"/>
      <c r="E53" s="840"/>
      <c r="F53" s="840"/>
      <c r="G53" s="841"/>
      <c r="L53" s="414"/>
    </row>
    <row r="54" spans="1:12" s="413" customFormat="1" ht="13.5" customHeight="1">
      <c r="A54" s="844"/>
      <c r="B54" s="840"/>
      <c r="C54" s="840"/>
      <c r="D54" s="840"/>
      <c r="E54" s="840"/>
      <c r="F54" s="840"/>
      <c r="G54" s="841"/>
      <c r="L54" s="414"/>
    </row>
    <row r="55" spans="1:12" s="413" customFormat="1" ht="13.5" customHeight="1">
      <c r="A55" s="844"/>
      <c r="B55" s="840"/>
      <c r="C55" s="840"/>
      <c r="D55" s="840"/>
      <c r="E55" s="840"/>
      <c r="F55" s="840"/>
      <c r="G55" s="841"/>
      <c r="L55" s="414"/>
    </row>
    <row r="56" spans="1:12" s="413" customFormat="1" ht="13.5" customHeight="1">
      <c r="A56" s="844"/>
      <c r="B56" s="840"/>
      <c r="C56" s="840"/>
      <c r="D56" s="840"/>
      <c r="E56" s="840"/>
      <c r="F56" s="840"/>
      <c r="G56" s="841"/>
      <c r="L56" s="414"/>
    </row>
    <row r="57" spans="1:12" s="413" customFormat="1" ht="13.5" customHeight="1">
      <c r="A57" s="844"/>
      <c r="B57" s="840"/>
      <c r="C57" s="840"/>
      <c r="D57" s="840"/>
      <c r="E57" s="840"/>
      <c r="F57" s="840"/>
      <c r="G57" s="841"/>
      <c r="L57" s="414"/>
    </row>
    <row r="58" spans="1:12" s="414" customFormat="1" ht="13.5" customHeight="1">
      <c r="A58" s="844"/>
      <c r="B58" s="840"/>
      <c r="C58" s="840"/>
      <c r="D58" s="840"/>
      <c r="E58" s="840"/>
      <c r="F58" s="840"/>
      <c r="G58" s="841"/>
      <c r="H58" s="413"/>
      <c r="I58" s="413"/>
      <c r="J58" s="413"/>
      <c r="K58" s="413"/>
    </row>
    <row r="59" spans="1:12" s="388" customFormat="1" ht="21">
      <c r="A59" s="417" t="s">
        <v>702</v>
      </c>
      <c r="B59" s="418">
        <f>$B$1</f>
        <v>8</v>
      </c>
      <c r="C59" s="419" t="s">
        <v>650</v>
      </c>
      <c r="D59" s="420" t="str">
        <f>$E$1</f>
        <v>儀式</v>
      </c>
      <c r="E59" s="865" t="str">
        <f>$B$2</f>
        <v>リムーヴ・アフリクション</v>
      </c>
      <c r="F59" s="866"/>
      <c r="G59" s="867"/>
      <c r="L59" s="389"/>
    </row>
  </sheetData>
  <mergeCells count="74">
    <mergeCell ref="E59:G59"/>
    <mergeCell ref="A48:G48"/>
    <mergeCell ref="A49:G49"/>
    <mergeCell ref="A50:G50"/>
    <mergeCell ref="A51:G51"/>
    <mergeCell ref="A52:G52"/>
    <mergeCell ref="A53:G53"/>
    <mergeCell ref="A54:G54"/>
    <mergeCell ref="A55:G55"/>
    <mergeCell ref="A56:G56"/>
    <mergeCell ref="A57:G57"/>
    <mergeCell ref="A58:G58"/>
    <mergeCell ref="A47:G47"/>
    <mergeCell ref="B36:G36"/>
    <mergeCell ref="B37:G37"/>
    <mergeCell ref="B38:G38"/>
    <mergeCell ref="B39:G39"/>
    <mergeCell ref="B40:G40"/>
    <mergeCell ref="B41:G41"/>
    <mergeCell ref="B42:G42"/>
    <mergeCell ref="B43:G43"/>
    <mergeCell ref="A44:G44"/>
    <mergeCell ref="A45:G45"/>
    <mergeCell ref="A46:G46"/>
    <mergeCell ref="B35:G35"/>
    <mergeCell ref="C28:D28"/>
    <mergeCell ref="E28:G28"/>
    <mergeCell ref="C29:D29"/>
    <mergeCell ref="E29:G29"/>
    <mergeCell ref="C30:D30"/>
    <mergeCell ref="E30:G30"/>
    <mergeCell ref="C31:D31"/>
    <mergeCell ref="E31:G31"/>
    <mergeCell ref="B32:G32"/>
    <mergeCell ref="B33:G33"/>
    <mergeCell ref="B34:G34"/>
    <mergeCell ref="C25:D25"/>
    <mergeCell ref="E25:G25"/>
    <mergeCell ref="C26:D26"/>
    <mergeCell ref="E26:G26"/>
    <mergeCell ref="C27:D27"/>
    <mergeCell ref="E27:G27"/>
    <mergeCell ref="B5:D5"/>
    <mergeCell ref="F5:G5"/>
    <mergeCell ref="C24:D24"/>
    <mergeCell ref="E24:G24"/>
    <mergeCell ref="B14:G14"/>
    <mergeCell ref="B15:G15"/>
    <mergeCell ref="B16:G16"/>
    <mergeCell ref="B17:G17"/>
    <mergeCell ref="B18:G18"/>
    <mergeCell ref="B19:G19"/>
    <mergeCell ref="B20:G20"/>
    <mergeCell ref="B21:G21"/>
    <mergeCell ref="B22:G22"/>
    <mergeCell ref="C23:D23"/>
    <mergeCell ref="E23:G23"/>
    <mergeCell ref="B13:G13"/>
    <mergeCell ref="J9:K9"/>
    <mergeCell ref="B10:G10"/>
    <mergeCell ref="B11:G11"/>
    <mergeCell ref="J11:K11"/>
    <mergeCell ref="B12:G12"/>
    <mergeCell ref="B9:G9"/>
    <mergeCell ref="B6:D6"/>
    <mergeCell ref="F6:G6"/>
    <mergeCell ref="B7:D7"/>
    <mergeCell ref="F7:G7"/>
    <mergeCell ref="B8:G8"/>
    <mergeCell ref="B1:C1"/>
    <mergeCell ref="F1:G1"/>
    <mergeCell ref="B2:G2"/>
    <mergeCell ref="B4:G4"/>
    <mergeCell ref="H4:L4"/>
  </mergeCells>
  <phoneticPr fontId="1"/>
  <dataValidations count="1">
    <dataValidation type="list" allowBlank="1" showInputMessage="1" showErrorMessage="1" sqref="I5:I8 I15 K8 I10 K15">
      <formula1>#REF!</formula1>
    </dataValidation>
  </dataValidations>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L59"/>
  <sheetViews>
    <sheetView workbookViewId="0">
      <selection activeCell="A31" sqref="A31:G32"/>
    </sheetView>
  </sheetViews>
  <sheetFormatPr defaultRowHeight="13.5"/>
  <cols>
    <col min="1" max="1" width="7.875" style="389" customWidth="1"/>
    <col min="2" max="2" width="8.5" style="389" customWidth="1"/>
    <col min="3" max="3" width="6.625" style="389" customWidth="1"/>
    <col min="4" max="4" width="15.75" style="389" customWidth="1"/>
    <col min="5" max="6" width="15.75" style="388" customWidth="1"/>
    <col min="7" max="7" width="18.25" style="388" customWidth="1"/>
    <col min="8" max="8" width="17.375" style="388" customWidth="1"/>
    <col min="9" max="9" width="14.625" style="388" customWidth="1"/>
    <col min="10" max="10" width="8.375" style="388" customWidth="1"/>
    <col min="11" max="11" width="7.5" style="388" customWidth="1"/>
    <col min="12" max="12" width="7.875" style="389" customWidth="1"/>
    <col min="13" max="13" width="9.25" style="389" customWidth="1"/>
    <col min="14" max="14" width="12.375" style="389" customWidth="1"/>
    <col min="15" max="16384" width="9" style="389"/>
  </cols>
  <sheetData>
    <row r="1" spans="1:12" ht="21">
      <c r="A1" s="384" t="s">
        <v>649</v>
      </c>
      <c r="B1" s="822">
        <v>8</v>
      </c>
      <c r="C1" s="823"/>
      <c r="D1" s="385" t="s">
        <v>650</v>
      </c>
      <c r="E1" s="386" t="s">
        <v>651</v>
      </c>
      <c r="F1" s="824"/>
      <c r="G1" s="825"/>
      <c r="H1" s="387" t="s">
        <v>652</v>
      </c>
    </row>
    <row r="2" spans="1:12" ht="24.75" customHeight="1">
      <c r="A2" s="385" t="s">
        <v>653</v>
      </c>
      <c r="B2" s="826" t="s">
        <v>744</v>
      </c>
      <c r="C2" s="826"/>
      <c r="D2" s="826"/>
      <c r="E2" s="826"/>
      <c r="F2" s="826"/>
      <c r="G2" s="826"/>
      <c r="H2" s="387" t="s">
        <v>655</v>
      </c>
    </row>
    <row r="3" spans="1:12" ht="19.5" customHeight="1">
      <c r="A3" s="390" t="s">
        <v>656</v>
      </c>
      <c r="B3" s="388"/>
      <c r="C3" s="388"/>
      <c r="D3" s="388"/>
      <c r="I3" s="387"/>
    </row>
    <row r="4" spans="1:12">
      <c r="A4" s="391" t="s">
        <v>657</v>
      </c>
      <c r="B4" s="827" t="s">
        <v>704</v>
      </c>
      <c r="C4" s="828"/>
      <c r="D4" s="828"/>
      <c r="E4" s="828"/>
      <c r="F4" s="828"/>
      <c r="G4" s="829"/>
      <c r="H4" s="830" t="s">
        <v>339</v>
      </c>
      <c r="I4" s="831"/>
      <c r="J4" s="831"/>
      <c r="K4" s="831"/>
      <c r="L4" s="832"/>
    </row>
    <row r="5" spans="1:12">
      <c r="A5" s="392" t="s">
        <v>659</v>
      </c>
      <c r="B5" s="833" t="s">
        <v>705</v>
      </c>
      <c r="C5" s="834"/>
      <c r="D5" s="835"/>
      <c r="E5" s="393" t="s">
        <v>661</v>
      </c>
      <c r="F5" s="827" t="s">
        <v>745</v>
      </c>
      <c r="G5" s="829"/>
      <c r="H5" s="393" t="s">
        <v>663</v>
      </c>
      <c r="I5" s="394" t="s">
        <v>664</v>
      </c>
      <c r="J5" s="394" t="s">
        <v>665</v>
      </c>
    </row>
    <row r="6" spans="1:12">
      <c r="A6" s="392" t="s">
        <v>666</v>
      </c>
      <c r="B6" s="833" t="s">
        <v>746</v>
      </c>
      <c r="C6" s="834"/>
      <c r="D6" s="835"/>
      <c r="E6" s="393" t="s">
        <v>668</v>
      </c>
      <c r="F6" s="827" t="s">
        <v>708</v>
      </c>
      <c r="G6" s="829"/>
      <c r="H6" s="393" t="s">
        <v>670</v>
      </c>
      <c r="I6" s="394"/>
      <c r="J6" s="394"/>
    </row>
    <row r="7" spans="1:12">
      <c r="A7" s="392" t="s">
        <v>671</v>
      </c>
      <c r="B7" s="827" t="s">
        <v>709</v>
      </c>
      <c r="C7" s="828"/>
      <c r="D7" s="829"/>
      <c r="E7" s="393" t="s">
        <v>672</v>
      </c>
      <c r="F7" s="827" t="s">
        <v>747</v>
      </c>
      <c r="G7" s="829"/>
      <c r="H7" s="393" t="s">
        <v>674</v>
      </c>
      <c r="I7" s="394" t="s">
        <v>675</v>
      </c>
      <c r="J7" s="387" t="s">
        <v>676</v>
      </c>
      <c r="L7" s="395" t="s">
        <v>343</v>
      </c>
    </row>
    <row r="8" spans="1:12" ht="13.5" customHeight="1">
      <c r="A8" s="396"/>
      <c r="B8" s="836" t="s">
        <v>748</v>
      </c>
      <c r="C8" s="837"/>
      <c r="D8" s="837"/>
      <c r="E8" s="837"/>
      <c r="F8" s="837"/>
      <c r="G8" s="838"/>
      <c r="H8" s="393" t="s">
        <v>678</v>
      </c>
      <c r="I8" s="397" t="s">
        <v>679</v>
      </c>
      <c r="J8" s="398" t="e">
        <f>IF(I8="",0,VLOOKUP(I8,#REF!:#REF!,3,FALSE))</f>
        <v>#REF!</v>
      </c>
      <c r="K8" s="394" t="s">
        <v>89</v>
      </c>
      <c r="L8" s="399" t="e">
        <f>$J$8+$L$9+$I$9</f>
        <v>#REF!</v>
      </c>
    </row>
    <row r="9" spans="1:12" ht="13.5" customHeight="1">
      <c r="A9" s="396"/>
      <c r="B9" s="839" t="s">
        <v>749</v>
      </c>
      <c r="C9" s="840"/>
      <c r="D9" s="840"/>
      <c r="E9" s="840"/>
      <c r="F9" s="840"/>
      <c r="G9" s="841"/>
      <c r="H9" s="393" t="s">
        <v>681</v>
      </c>
      <c r="I9" s="394">
        <v>0</v>
      </c>
      <c r="J9" s="842" t="s">
        <v>682</v>
      </c>
      <c r="K9" s="843"/>
      <c r="L9" s="398" t="e">
        <f>IF($I$7=#REF!,#REF!,IF($I$7=#REF!,#REF!,IF($I$7=#REF!,#REF!,IF($I$7=#REF!,#REF!,IF($I$7=#REF!,#REF!,0)))))</f>
        <v>#REF!</v>
      </c>
    </row>
    <row r="10" spans="1:12" ht="13.5" customHeight="1">
      <c r="A10" s="396"/>
      <c r="B10" s="844" t="s">
        <v>750</v>
      </c>
      <c r="C10" s="840"/>
      <c r="D10" s="840"/>
      <c r="E10" s="840"/>
      <c r="F10" s="840"/>
      <c r="G10" s="841"/>
      <c r="H10" s="400" t="s">
        <v>684</v>
      </c>
      <c r="I10" s="397" t="s">
        <v>679</v>
      </c>
      <c r="J10" s="398" t="e">
        <f>IF(I10="",0,VLOOKUP(I10,#REF!:#REF!,3,FALSE))</f>
        <v>#REF!</v>
      </c>
      <c r="L10" s="388"/>
    </row>
    <row r="11" spans="1:12" ht="13.5" customHeight="1">
      <c r="A11" s="396"/>
      <c r="B11" s="844" t="s">
        <v>751</v>
      </c>
      <c r="C11" s="840"/>
      <c r="D11" s="840"/>
      <c r="E11" s="840"/>
      <c r="F11" s="840"/>
      <c r="G11" s="841"/>
      <c r="H11" s="393" t="s">
        <v>686</v>
      </c>
      <c r="I11" s="394">
        <v>0</v>
      </c>
      <c r="J11" s="842" t="s">
        <v>687</v>
      </c>
      <c r="K11" s="843"/>
      <c r="L11" s="398" t="e">
        <f>IF($I$7=#REF!,#REF!,IF($I$7=#REF!,#REF!,IF($I$7=#REF!,#REF!,IF($I$7=#REF!,#REF!,IF($I$7=#REF!,#REF!,0)))))</f>
        <v>#REF!</v>
      </c>
    </row>
    <row r="12" spans="1:12" ht="13.5" customHeight="1">
      <c r="A12" s="396"/>
      <c r="B12" s="844"/>
      <c r="C12" s="840"/>
      <c r="D12" s="840"/>
      <c r="E12" s="840"/>
      <c r="F12" s="840"/>
      <c r="G12" s="841"/>
      <c r="J12" s="389"/>
      <c r="K12" s="389"/>
      <c r="L12" s="395" t="s">
        <v>343</v>
      </c>
    </row>
    <row r="13" spans="1:12" ht="13.5" customHeight="1">
      <c r="A13" s="396"/>
      <c r="B13" s="852" t="s">
        <v>752</v>
      </c>
      <c r="C13" s="840"/>
      <c r="D13" s="840"/>
      <c r="E13" s="840"/>
      <c r="F13" s="840"/>
      <c r="G13" s="841"/>
      <c r="H13" s="393" t="s">
        <v>689</v>
      </c>
      <c r="I13" s="394">
        <v>1</v>
      </c>
      <c r="J13" s="393" t="s">
        <v>690</v>
      </c>
      <c r="K13" s="394">
        <v>6</v>
      </c>
      <c r="L13" s="399" t="e">
        <f>$J$10+$L$11+$I$11</f>
        <v>#REF!</v>
      </c>
    </row>
    <row r="14" spans="1:12" ht="13.5" customHeight="1">
      <c r="A14" s="396"/>
      <c r="B14" s="845" t="s">
        <v>753</v>
      </c>
      <c r="C14" s="848"/>
      <c r="D14" s="848"/>
      <c r="E14" s="848"/>
      <c r="F14" s="848"/>
      <c r="G14" s="849"/>
      <c r="H14" s="393" t="s">
        <v>691</v>
      </c>
      <c r="I14" s="401" t="e">
        <f>IF($I$7=#REF!,#REF!,IF($I$7=#REF!,#REF!,IF($I$7=#REF!,#REF!,IF($I$7=#REF!,#REF!,IF($I$7=#REF!,#REF!,0)))))</f>
        <v>#REF!</v>
      </c>
      <c r="J14" s="393" t="s">
        <v>690</v>
      </c>
      <c r="K14" s="401" t="e">
        <f>IF($I$7=#REF!,#REF!,IF($I$7=#REF!,#REF!,IF($I$7=#REF!,#REF!,IF($I$7=#REF!,#REF!,IF($I$7=#REF!,#REF!,0)))))</f>
        <v>#REF!</v>
      </c>
      <c r="L14" s="399" t="e">
        <f>$J$10+$L$11+$I$11+($I$13*$K$13)</f>
        <v>#REF!</v>
      </c>
    </row>
    <row r="15" spans="1:12" ht="13.5" customHeight="1">
      <c r="A15" s="396"/>
      <c r="B15" s="851" t="s">
        <v>754</v>
      </c>
      <c r="C15" s="846"/>
      <c r="D15" s="846"/>
      <c r="E15" s="846"/>
      <c r="F15" s="846"/>
      <c r="G15" s="847"/>
      <c r="H15" s="393" t="s">
        <v>694</v>
      </c>
      <c r="I15" s="394"/>
      <c r="J15" s="406" t="s">
        <v>342</v>
      </c>
      <c r="K15" s="397" t="s">
        <v>679</v>
      </c>
      <c r="L15" s="407" t="e">
        <f>IF(K15="",0,VLOOKUP(K15,#REF!:#REF!,3,FALSE))</f>
        <v>#REF!</v>
      </c>
    </row>
    <row r="16" spans="1:12" ht="13.5" customHeight="1">
      <c r="A16" s="396"/>
      <c r="B16" s="851"/>
      <c r="C16" s="846"/>
      <c r="D16" s="846"/>
      <c r="E16" s="846"/>
      <c r="F16" s="846"/>
      <c r="G16" s="847"/>
    </row>
    <row r="17" spans="1:11" ht="13.5" customHeight="1">
      <c r="A17" s="396"/>
      <c r="B17" s="845" t="s">
        <v>755</v>
      </c>
      <c r="C17" s="848"/>
      <c r="D17" s="848"/>
      <c r="E17" s="848"/>
      <c r="F17" s="848"/>
      <c r="G17" s="849"/>
      <c r="J17" s="389"/>
      <c r="K17" s="389"/>
    </row>
    <row r="18" spans="1:11" ht="13.5" customHeight="1">
      <c r="A18" s="396"/>
      <c r="B18" s="851" t="s">
        <v>756</v>
      </c>
      <c r="C18" s="846"/>
      <c r="D18" s="846"/>
      <c r="E18" s="846"/>
      <c r="F18" s="846"/>
      <c r="G18" s="847"/>
    </row>
    <row r="19" spans="1:11" ht="13.5" customHeight="1">
      <c r="A19" s="396"/>
      <c r="B19" s="851" t="s">
        <v>757</v>
      </c>
      <c r="C19" s="846"/>
      <c r="D19" s="846"/>
      <c r="E19" s="846"/>
      <c r="F19" s="846"/>
      <c r="G19" s="847"/>
      <c r="J19" s="389"/>
      <c r="K19" s="389"/>
    </row>
    <row r="20" spans="1:11" ht="13.5" customHeight="1">
      <c r="A20" s="396"/>
      <c r="B20" s="851"/>
      <c r="C20" s="846"/>
      <c r="D20" s="846"/>
      <c r="E20" s="846"/>
      <c r="F20" s="846"/>
      <c r="G20" s="847"/>
      <c r="J20" s="389"/>
      <c r="K20" s="389"/>
    </row>
    <row r="21" spans="1:11" ht="13.5" customHeight="1">
      <c r="A21" s="396"/>
      <c r="B21" s="851" t="s">
        <v>758</v>
      </c>
      <c r="C21" s="846"/>
      <c r="D21" s="846"/>
      <c r="E21" s="846"/>
      <c r="F21" s="846"/>
      <c r="G21" s="847"/>
    </row>
    <row r="22" spans="1:11" ht="13.5" customHeight="1">
      <c r="A22" s="396"/>
      <c r="B22" s="851" t="s">
        <v>759</v>
      </c>
      <c r="C22" s="846"/>
      <c r="D22" s="846"/>
      <c r="E22" s="846"/>
      <c r="F22" s="846"/>
      <c r="G22" s="847"/>
      <c r="J22" s="389"/>
      <c r="K22" s="389"/>
    </row>
    <row r="23" spans="1:11" ht="13.5" customHeight="1">
      <c r="A23" s="396"/>
      <c r="B23" s="845"/>
      <c r="C23" s="846"/>
      <c r="D23" s="846"/>
      <c r="E23" s="846"/>
      <c r="F23" s="846"/>
      <c r="G23" s="847"/>
      <c r="J23" s="389"/>
      <c r="K23" s="389"/>
    </row>
    <row r="24" spans="1:11" ht="13.5" customHeight="1">
      <c r="A24" s="396"/>
      <c r="B24" s="845" t="s">
        <v>760</v>
      </c>
      <c r="C24" s="846"/>
      <c r="D24" s="846"/>
      <c r="E24" s="846"/>
      <c r="F24" s="846"/>
      <c r="G24" s="847"/>
    </row>
    <row r="25" spans="1:11" ht="13.5" customHeight="1">
      <c r="A25" s="396"/>
      <c r="B25" s="845" t="s">
        <v>761</v>
      </c>
      <c r="C25" s="846"/>
      <c r="D25" s="846"/>
      <c r="E25" s="846"/>
      <c r="F25" s="846"/>
      <c r="G25" s="847"/>
      <c r="J25" s="389"/>
      <c r="K25" s="389"/>
    </row>
    <row r="26" spans="1:11" ht="13.5" customHeight="1">
      <c r="A26" s="396"/>
      <c r="B26" s="845" t="s">
        <v>762</v>
      </c>
      <c r="C26" s="846"/>
      <c r="D26" s="846"/>
      <c r="E26" s="846"/>
      <c r="F26" s="846"/>
      <c r="G26" s="847"/>
      <c r="J26" s="389"/>
      <c r="K26" s="389"/>
    </row>
    <row r="27" spans="1:11" ht="13.5" customHeight="1">
      <c r="A27" s="396"/>
      <c r="B27" s="845" t="s">
        <v>763</v>
      </c>
      <c r="C27" s="846"/>
      <c r="D27" s="846"/>
      <c r="E27" s="846"/>
      <c r="F27" s="846"/>
      <c r="G27" s="847"/>
    </row>
    <row r="28" spans="1:11" ht="13.5" customHeight="1">
      <c r="A28" s="396"/>
      <c r="B28" s="851" t="s">
        <v>764</v>
      </c>
      <c r="C28" s="846"/>
      <c r="D28" s="846"/>
      <c r="E28" s="846"/>
      <c r="F28" s="846"/>
      <c r="G28" s="847"/>
      <c r="J28" s="389"/>
      <c r="K28" s="389"/>
    </row>
    <row r="29" spans="1:11" ht="13.5" customHeight="1">
      <c r="A29" s="396"/>
      <c r="B29" s="851" t="s">
        <v>765</v>
      </c>
      <c r="C29" s="846"/>
      <c r="D29" s="846"/>
      <c r="E29" s="846"/>
      <c r="F29" s="846"/>
      <c r="G29" s="847"/>
      <c r="J29" s="389"/>
      <c r="K29" s="389"/>
    </row>
    <row r="30" spans="1:11" ht="13.5" customHeight="1">
      <c r="A30" s="396"/>
      <c r="B30" s="845" t="s">
        <v>766</v>
      </c>
      <c r="C30" s="846"/>
      <c r="D30" s="846"/>
      <c r="E30" s="846"/>
      <c r="F30" s="846"/>
      <c r="G30" s="847"/>
    </row>
    <row r="31" spans="1:11" ht="13.5" customHeight="1">
      <c r="A31" s="396"/>
      <c r="B31" s="845"/>
      <c r="C31" s="846"/>
      <c r="D31" s="846"/>
      <c r="E31" s="846"/>
      <c r="F31" s="846"/>
      <c r="G31" s="847"/>
      <c r="J31" s="389"/>
      <c r="K31" s="389"/>
    </row>
    <row r="32" spans="1:11" ht="13.5" customHeight="1">
      <c r="A32" s="396"/>
      <c r="B32" s="845"/>
      <c r="C32" s="846"/>
      <c r="D32" s="846"/>
      <c r="E32" s="846"/>
      <c r="F32" s="846"/>
      <c r="G32" s="847"/>
      <c r="J32" s="389"/>
      <c r="K32" s="389"/>
    </row>
    <row r="33" spans="1:12" ht="13.5" customHeight="1">
      <c r="A33" s="396"/>
      <c r="B33" s="851"/>
      <c r="C33" s="846"/>
      <c r="D33" s="846"/>
      <c r="E33" s="846"/>
      <c r="F33" s="846"/>
      <c r="G33" s="847"/>
    </row>
    <row r="34" spans="1:12" ht="13.5" customHeight="1">
      <c r="A34" s="396"/>
      <c r="B34" s="851"/>
      <c r="C34" s="846"/>
      <c r="D34" s="846"/>
      <c r="E34" s="846"/>
      <c r="F34" s="846"/>
      <c r="G34" s="847"/>
      <c r="J34" s="389"/>
      <c r="K34" s="389"/>
    </row>
    <row r="35" spans="1:12" ht="13.5" customHeight="1">
      <c r="A35" s="396"/>
      <c r="B35" s="851"/>
      <c r="C35" s="846"/>
      <c r="D35" s="846"/>
      <c r="E35" s="846"/>
      <c r="F35" s="846"/>
      <c r="G35" s="847"/>
      <c r="J35" s="389"/>
      <c r="K35" s="389"/>
    </row>
    <row r="36" spans="1:12" ht="13.5" customHeight="1">
      <c r="A36" s="396"/>
      <c r="B36" s="851"/>
      <c r="C36" s="846"/>
      <c r="D36" s="846"/>
      <c r="E36" s="846"/>
      <c r="F36" s="846"/>
      <c r="G36" s="847"/>
    </row>
    <row r="37" spans="1:12" ht="13.5" customHeight="1">
      <c r="A37" s="396"/>
      <c r="B37" s="851"/>
      <c r="C37" s="846"/>
      <c r="D37" s="846"/>
      <c r="E37" s="846"/>
      <c r="F37" s="846"/>
      <c r="G37" s="847"/>
      <c r="J37" s="389"/>
      <c r="K37" s="389"/>
    </row>
    <row r="38" spans="1:12" ht="13.5" customHeight="1">
      <c r="A38" s="396"/>
      <c r="B38" s="851"/>
      <c r="C38" s="846"/>
      <c r="D38" s="846"/>
      <c r="E38" s="846"/>
      <c r="F38" s="846"/>
      <c r="G38" s="847"/>
      <c r="J38" s="389"/>
      <c r="K38" s="389"/>
    </row>
    <row r="39" spans="1:12" ht="13.5" customHeight="1">
      <c r="A39" s="396"/>
      <c r="B39" s="851"/>
      <c r="C39" s="846"/>
      <c r="D39" s="846"/>
      <c r="E39" s="846"/>
      <c r="F39" s="846"/>
      <c r="G39" s="847"/>
    </row>
    <row r="40" spans="1:12" ht="13.5" customHeight="1">
      <c r="A40" s="396"/>
      <c r="B40" s="851"/>
      <c r="C40" s="846"/>
      <c r="D40" s="846"/>
      <c r="E40" s="846"/>
      <c r="F40" s="846"/>
      <c r="G40" s="847"/>
      <c r="J40" s="389"/>
      <c r="K40" s="389"/>
    </row>
    <row r="41" spans="1:12" ht="13.5" customHeight="1">
      <c r="A41" s="412"/>
      <c r="B41" s="853"/>
      <c r="C41" s="854"/>
      <c r="D41" s="854"/>
      <c r="E41" s="854"/>
      <c r="F41" s="854"/>
      <c r="G41" s="855"/>
      <c r="J41" s="389"/>
      <c r="K41" s="389"/>
    </row>
    <row r="42" spans="1:12">
      <c r="A42" s="854"/>
      <c r="B42" s="854"/>
      <c r="C42" s="854"/>
      <c r="D42" s="854"/>
      <c r="E42" s="854"/>
      <c r="F42" s="854"/>
      <c r="G42" s="854"/>
    </row>
    <row r="43" spans="1:12" ht="13.5" customHeight="1">
      <c r="A43" s="856" t="s">
        <v>701</v>
      </c>
      <c r="B43" s="857"/>
      <c r="C43" s="857"/>
      <c r="D43" s="857"/>
      <c r="E43" s="857"/>
      <c r="F43" s="857"/>
      <c r="G43" s="858"/>
    </row>
    <row r="44" spans="1:12" s="413" customFormat="1" ht="13.5" customHeight="1">
      <c r="A44" s="844"/>
      <c r="B44" s="840"/>
      <c r="C44" s="840"/>
      <c r="D44" s="840"/>
      <c r="E44" s="840"/>
      <c r="F44" s="840"/>
      <c r="G44" s="841"/>
      <c r="L44" s="414"/>
    </row>
    <row r="45" spans="1:12" s="415" customFormat="1" ht="13.5" customHeight="1">
      <c r="A45" s="859"/>
      <c r="B45" s="860"/>
      <c r="C45" s="860"/>
      <c r="D45" s="860"/>
      <c r="E45" s="860"/>
      <c r="F45" s="860"/>
      <c r="G45" s="861"/>
      <c r="L45" s="416"/>
    </row>
    <row r="46" spans="1:12" s="415" customFormat="1" ht="13.5" customHeight="1">
      <c r="A46" s="862"/>
      <c r="B46" s="863"/>
      <c r="C46" s="863"/>
      <c r="D46" s="863"/>
      <c r="E46" s="863"/>
      <c r="F46" s="863"/>
      <c r="G46" s="864"/>
      <c r="L46" s="416"/>
    </row>
    <row r="47" spans="1:12" s="416" customFormat="1" ht="13.5" customHeight="1">
      <c r="A47" s="844"/>
      <c r="B47" s="840"/>
      <c r="C47" s="840"/>
      <c r="D47" s="840"/>
      <c r="E47" s="840"/>
      <c r="F47" s="840"/>
      <c r="G47" s="841"/>
      <c r="H47" s="415"/>
      <c r="I47" s="415"/>
      <c r="J47" s="415"/>
      <c r="K47" s="415"/>
    </row>
    <row r="48" spans="1:12" s="415" customFormat="1" ht="13.5" customHeight="1">
      <c r="A48" s="859"/>
      <c r="B48" s="860"/>
      <c r="C48" s="860"/>
      <c r="D48" s="860"/>
      <c r="E48" s="860"/>
      <c r="F48" s="860"/>
      <c r="G48" s="861"/>
      <c r="L48" s="416"/>
    </row>
    <row r="49" spans="1:12" s="413" customFormat="1" ht="13.5" customHeight="1">
      <c r="A49" s="844"/>
      <c r="B49" s="840"/>
      <c r="C49" s="840"/>
      <c r="D49" s="840"/>
      <c r="E49" s="840"/>
      <c r="F49" s="840"/>
      <c r="G49" s="841"/>
      <c r="L49" s="414"/>
    </row>
    <row r="50" spans="1:12" s="413" customFormat="1" ht="13.5" customHeight="1">
      <c r="A50" s="844"/>
      <c r="B50" s="840"/>
      <c r="C50" s="840"/>
      <c r="D50" s="840"/>
      <c r="E50" s="840"/>
      <c r="F50" s="840"/>
      <c r="G50" s="841"/>
      <c r="L50" s="414"/>
    </row>
    <row r="51" spans="1:12" s="413" customFormat="1" ht="13.5" customHeight="1">
      <c r="A51" s="844"/>
      <c r="B51" s="840"/>
      <c r="C51" s="840"/>
      <c r="D51" s="840"/>
      <c r="E51" s="840"/>
      <c r="F51" s="840"/>
      <c r="G51" s="841"/>
      <c r="L51" s="414"/>
    </row>
    <row r="52" spans="1:12" s="414" customFormat="1" ht="13.5" customHeight="1">
      <c r="A52" s="844"/>
      <c r="B52" s="840"/>
      <c r="C52" s="840"/>
      <c r="D52" s="840"/>
      <c r="E52" s="840"/>
      <c r="F52" s="840"/>
      <c r="G52" s="841"/>
      <c r="H52" s="413"/>
      <c r="I52" s="413"/>
      <c r="J52" s="413"/>
      <c r="K52" s="413"/>
    </row>
    <row r="53" spans="1:12" s="413" customFormat="1" ht="13.5" customHeight="1">
      <c r="A53" s="844"/>
      <c r="B53" s="840"/>
      <c r="C53" s="840"/>
      <c r="D53" s="840"/>
      <c r="E53" s="840"/>
      <c r="F53" s="840"/>
      <c r="G53" s="841"/>
      <c r="L53" s="414"/>
    </row>
    <row r="54" spans="1:12" s="413" customFormat="1" ht="13.5" customHeight="1">
      <c r="A54" s="844"/>
      <c r="B54" s="840"/>
      <c r="C54" s="840"/>
      <c r="D54" s="840"/>
      <c r="E54" s="840"/>
      <c r="F54" s="840"/>
      <c r="G54" s="841"/>
      <c r="L54" s="414"/>
    </row>
    <row r="55" spans="1:12" s="413" customFormat="1" ht="13.5" customHeight="1">
      <c r="A55" s="844"/>
      <c r="B55" s="840"/>
      <c r="C55" s="840"/>
      <c r="D55" s="840"/>
      <c r="E55" s="840"/>
      <c r="F55" s="840"/>
      <c r="G55" s="841"/>
      <c r="L55" s="414"/>
    </row>
    <row r="56" spans="1:12" s="413" customFormat="1" ht="13.5" customHeight="1">
      <c r="A56" s="844"/>
      <c r="B56" s="840"/>
      <c r="C56" s="840"/>
      <c r="D56" s="840"/>
      <c r="E56" s="840"/>
      <c r="F56" s="840"/>
      <c r="G56" s="841"/>
      <c r="L56" s="414"/>
    </row>
    <row r="57" spans="1:12" s="413" customFormat="1" ht="13.5" customHeight="1">
      <c r="A57" s="844"/>
      <c r="B57" s="840"/>
      <c r="C57" s="840"/>
      <c r="D57" s="840"/>
      <c r="E57" s="840"/>
      <c r="F57" s="840"/>
      <c r="G57" s="841"/>
      <c r="L57" s="414"/>
    </row>
    <row r="58" spans="1:12" s="414" customFormat="1" ht="13.5" customHeight="1">
      <c r="A58" s="844"/>
      <c r="B58" s="840"/>
      <c r="C58" s="840"/>
      <c r="D58" s="840"/>
      <c r="E58" s="840"/>
      <c r="F58" s="840"/>
      <c r="G58" s="841"/>
      <c r="H58" s="413"/>
      <c r="I58" s="413"/>
      <c r="J58" s="413"/>
      <c r="K58" s="413"/>
    </row>
    <row r="59" spans="1:12" s="388" customFormat="1" ht="21">
      <c r="A59" s="417" t="s">
        <v>702</v>
      </c>
      <c r="B59" s="418">
        <f>$B$1</f>
        <v>8</v>
      </c>
      <c r="C59" s="419" t="s">
        <v>650</v>
      </c>
      <c r="D59" s="420" t="str">
        <f>$E$1</f>
        <v>儀式</v>
      </c>
      <c r="E59" s="865" t="str">
        <f>$B$2</f>
        <v>レイズ・デッド</v>
      </c>
      <c r="F59" s="866"/>
      <c r="G59" s="867"/>
      <c r="L59" s="389"/>
    </row>
  </sheetData>
  <mergeCells count="65">
    <mergeCell ref="A56:G56"/>
    <mergeCell ref="A57:G57"/>
    <mergeCell ref="A58:G58"/>
    <mergeCell ref="E59:G59"/>
    <mergeCell ref="A50:G50"/>
    <mergeCell ref="A51:G51"/>
    <mergeCell ref="A52:G52"/>
    <mergeCell ref="A53:G53"/>
    <mergeCell ref="A54:G54"/>
    <mergeCell ref="A55:G55"/>
    <mergeCell ref="A49:G49"/>
    <mergeCell ref="B38:G38"/>
    <mergeCell ref="B39:G39"/>
    <mergeCell ref="B40:G40"/>
    <mergeCell ref="B41:G41"/>
    <mergeCell ref="A42:G42"/>
    <mergeCell ref="A43:G43"/>
    <mergeCell ref="A44:G44"/>
    <mergeCell ref="A45:G45"/>
    <mergeCell ref="A46:G46"/>
    <mergeCell ref="A47:G47"/>
    <mergeCell ref="A48:G48"/>
    <mergeCell ref="B37:G37"/>
    <mergeCell ref="B26:G26"/>
    <mergeCell ref="B27:G27"/>
    <mergeCell ref="B28:G28"/>
    <mergeCell ref="B29:G29"/>
    <mergeCell ref="B30:G30"/>
    <mergeCell ref="B31:G31"/>
    <mergeCell ref="B32:G32"/>
    <mergeCell ref="B33:G33"/>
    <mergeCell ref="B34:G34"/>
    <mergeCell ref="B35:G35"/>
    <mergeCell ref="B36:G36"/>
    <mergeCell ref="B5:D5"/>
    <mergeCell ref="F5:G5"/>
    <mergeCell ref="B25:G25"/>
    <mergeCell ref="B14:G14"/>
    <mergeCell ref="B15:G15"/>
    <mergeCell ref="B16:G16"/>
    <mergeCell ref="B17:G17"/>
    <mergeCell ref="B18:G18"/>
    <mergeCell ref="B19:G19"/>
    <mergeCell ref="B20:G20"/>
    <mergeCell ref="B21:G21"/>
    <mergeCell ref="B22:G22"/>
    <mergeCell ref="B23:G23"/>
    <mergeCell ref="B24:G24"/>
    <mergeCell ref="B13:G13"/>
    <mergeCell ref="B6:D6"/>
    <mergeCell ref="J9:K9"/>
    <mergeCell ref="B10:G10"/>
    <mergeCell ref="B11:G11"/>
    <mergeCell ref="J11:K11"/>
    <mergeCell ref="B12:G12"/>
    <mergeCell ref="F6:G6"/>
    <mergeCell ref="B7:D7"/>
    <mergeCell ref="F7:G7"/>
    <mergeCell ref="B8:G8"/>
    <mergeCell ref="B9:G9"/>
    <mergeCell ref="B1:C1"/>
    <mergeCell ref="F1:G1"/>
    <mergeCell ref="B2:G2"/>
    <mergeCell ref="B4:G4"/>
    <mergeCell ref="H4:L4"/>
  </mergeCells>
  <phoneticPr fontId="1"/>
  <dataValidations count="2">
    <dataValidation type="list" allowBlank="1" showInputMessage="1" showErrorMessage="1" sqref="I5:I7 I15 K8">
      <formula1>#REF!</formula1>
    </dataValidation>
    <dataValidation type="list" allowBlank="1" showInputMessage="1" showErrorMessage="1" sqref="I8 I10 K15">
      <formula1>#REF!</formula1>
    </dataValidation>
  </dataValidations>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N56"/>
  <sheetViews>
    <sheetView zoomScaleNormal="100" workbookViewId="0">
      <selection activeCell="A31" sqref="A31:G32"/>
    </sheetView>
  </sheetViews>
  <sheetFormatPr defaultRowHeight="13.5"/>
  <cols>
    <col min="1" max="1" width="7.875" style="287" customWidth="1"/>
    <col min="2" max="2" width="8.5" style="287" customWidth="1"/>
    <col min="3" max="3" width="6.625" style="287" customWidth="1"/>
    <col min="4" max="4" width="15.75" style="287" customWidth="1"/>
    <col min="5" max="6" width="15.75" style="288" customWidth="1"/>
    <col min="7" max="7" width="18.25" style="288" customWidth="1"/>
    <col min="8" max="8" width="17.375" style="288" customWidth="1"/>
    <col min="9" max="9" width="14.625" style="288" customWidth="1"/>
    <col min="10" max="10" width="8.375" style="288" customWidth="1"/>
    <col min="11" max="11" width="7.5" style="288" customWidth="1"/>
    <col min="12" max="13" width="7.875" style="287" customWidth="1"/>
    <col min="14" max="14" width="9.25" style="287" customWidth="1"/>
    <col min="15" max="15" width="12.375" style="287" customWidth="1"/>
    <col min="16" max="16384" width="9" style="287"/>
  </cols>
  <sheetData>
    <row r="1" spans="1:14" ht="21">
      <c r="A1" s="116" t="s">
        <v>32</v>
      </c>
      <c r="B1" s="734">
        <v>20</v>
      </c>
      <c r="C1" s="735"/>
      <c r="D1" s="117" t="s">
        <v>39</v>
      </c>
      <c r="E1" s="118" t="s">
        <v>120</v>
      </c>
      <c r="F1" s="736"/>
      <c r="G1" s="737"/>
      <c r="H1" s="244" t="s">
        <v>54</v>
      </c>
    </row>
    <row r="2" spans="1:14" ht="24.75" customHeight="1">
      <c r="A2" s="117" t="s">
        <v>0</v>
      </c>
      <c r="B2" s="738" t="s">
        <v>461</v>
      </c>
      <c r="C2" s="738"/>
      <c r="D2" s="738"/>
      <c r="E2" s="738"/>
      <c r="F2" s="738"/>
      <c r="G2" s="738"/>
      <c r="H2" s="244" t="s">
        <v>55</v>
      </c>
    </row>
    <row r="3" spans="1:14" ht="19.5" customHeight="1">
      <c r="A3" s="246" t="s">
        <v>47</v>
      </c>
      <c r="B3" s="288"/>
      <c r="C3" s="288"/>
      <c r="D3" s="288"/>
      <c r="I3" s="244"/>
    </row>
    <row r="4" spans="1:14">
      <c r="A4" s="260" t="s">
        <v>45</v>
      </c>
      <c r="B4" s="628" t="s">
        <v>455</v>
      </c>
      <c r="C4" s="629"/>
      <c r="D4" s="629"/>
      <c r="E4" s="629"/>
      <c r="F4" s="629"/>
      <c r="G4" s="630"/>
      <c r="H4" s="539" t="s">
        <v>339</v>
      </c>
      <c r="I4" s="540"/>
      <c r="J4" s="540"/>
      <c r="K4" s="540"/>
      <c r="L4" s="541"/>
    </row>
    <row r="5" spans="1:14">
      <c r="A5" s="261" t="s">
        <v>38</v>
      </c>
      <c r="B5" s="628" t="s">
        <v>456</v>
      </c>
      <c r="C5" s="629"/>
      <c r="D5" s="629"/>
      <c r="E5" s="629"/>
      <c r="F5" s="629"/>
      <c r="G5" s="630"/>
      <c r="H5" s="291" t="s">
        <v>42</v>
      </c>
      <c r="I5" s="290" t="s">
        <v>69</v>
      </c>
      <c r="J5" s="290"/>
    </row>
    <row r="6" spans="1:14">
      <c r="A6" s="261" t="s">
        <v>7</v>
      </c>
      <c r="B6" s="628" t="s">
        <v>5</v>
      </c>
      <c r="C6" s="629"/>
      <c r="D6" s="630"/>
      <c r="E6" s="291" t="s">
        <v>42</v>
      </c>
      <c r="F6" s="272" t="str">
        <f>$I$5</f>
        <v>近接範囲</v>
      </c>
      <c r="G6" s="289" t="str">
        <f>IF($J$5 = 0,"", $J$5)</f>
        <v/>
      </c>
      <c r="H6" s="291" t="s">
        <v>65</v>
      </c>
      <c r="I6" s="290" t="s">
        <v>66</v>
      </c>
      <c r="J6" s="335" t="s">
        <v>552</v>
      </c>
    </row>
    <row r="7" spans="1:14">
      <c r="A7" s="262" t="s">
        <v>6</v>
      </c>
      <c r="B7" s="628" t="s">
        <v>287</v>
      </c>
      <c r="C7" s="629"/>
      <c r="D7" s="630"/>
      <c r="E7" s="291" t="s">
        <v>65</v>
      </c>
      <c r="F7" s="272" t="str">
        <f>IF($I$6 = 0,"", $I$6)</f>
        <v>爆発</v>
      </c>
      <c r="G7" s="272" t="str">
        <f>IF($J$6 = 0,"", $J$6)</f>
        <v>3 ( or 4 )</v>
      </c>
      <c r="H7" s="291" t="s">
        <v>84</v>
      </c>
      <c r="I7" s="290" t="s">
        <v>112</v>
      </c>
      <c r="J7" s="244" t="s">
        <v>61</v>
      </c>
      <c r="L7" s="230" t="s">
        <v>343</v>
      </c>
    </row>
    <row r="8" spans="1:14">
      <c r="A8" s="262" t="s">
        <v>8</v>
      </c>
      <c r="B8" s="628" t="s">
        <v>141</v>
      </c>
      <c r="C8" s="629"/>
      <c r="D8" s="629"/>
      <c r="E8" s="629"/>
      <c r="F8" s="629"/>
      <c r="G8" s="630"/>
      <c r="H8" s="291" t="s">
        <v>50</v>
      </c>
      <c r="I8" s="290" t="s">
        <v>139</v>
      </c>
      <c r="J8" s="289">
        <f>IF($I$8 = "筋力",基本!$C$5,IF($I$8 = "耐久力",基本!$C$6,IF($I$8 = "敏捷力",基本!$C$7,IF($I$8 = "知力",基本!$C$8,IF($I$8 = "判断力",基本!$C$9,IF($I$8 = "判断力",基本!$C$10,""))))))</f>
        <v>7</v>
      </c>
      <c r="K8" s="290" t="s">
        <v>19</v>
      </c>
      <c r="L8" s="229">
        <f>$J$8+$L$9+$I$9</f>
        <v>7</v>
      </c>
    </row>
    <row r="9" spans="1:14" ht="14.25" customHeight="1">
      <c r="A9" s="274" t="s">
        <v>371</v>
      </c>
      <c r="B9" s="642" t="s">
        <v>457</v>
      </c>
      <c r="C9" s="643"/>
      <c r="D9" s="643"/>
      <c r="E9" s="643"/>
      <c r="F9" s="643"/>
      <c r="G9" s="644"/>
      <c r="H9" s="291" t="s">
        <v>57</v>
      </c>
      <c r="I9" s="290">
        <v>0</v>
      </c>
      <c r="J9" s="539" t="s">
        <v>52</v>
      </c>
      <c r="K9" s="541"/>
      <c r="L9" s="289">
        <f>IF($I$7=基本!$F$4,基本!$P$7,IF($I$7=基本!$F$13,基本!$P$16,IF($I$7=基本!$F$22,基本!$P$25,IF($I$7=基本!$F$31,基本!$P$34,IF($I$7=基本!$F$40,基本!$P$43,0)))))</f>
        <v>0</v>
      </c>
    </row>
    <row r="10" spans="1:14" ht="14.25" customHeight="1">
      <c r="A10" s="274"/>
      <c r="B10" s="645" t="s">
        <v>458</v>
      </c>
      <c r="C10" s="646"/>
      <c r="D10" s="646"/>
      <c r="E10" s="646"/>
      <c r="F10" s="646"/>
      <c r="G10" s="647"/>
      <c r="H10" s="292" t="s">
        <v>51</v>
      </c>
      <c r="I10" s="290" t="s">
        <v>139</v>
      </c>
      <c r="J10" s="249">
        <f>IF($I$10 = "筋力",基本!$C$5,IF($I$10 = "耐久力",基本!$C$6,IF($I$10 = "敏捷力",基本!$C$7,IF($I$10 = "知力",基本!$C$8,IF($I$10 = "判断力",基本!$C$9,IF($I$10 = "判断力",基本!$C$10,""))))))</f>
        <v>7</v>
      </c>
      <c r="L10" s="288"/>
    </row>
    <row r="11" spans="1:14" ht="14.25" customHeight="1">
      <c r="A11" s="274"/>
      <c r="B11" s="645"/>
      <c r="C11" s="646"/>
      <c r="D11" s="646"/>
      <c r="E11" s="646"/>
      <c r="F11" s="646"/>
      <c r="G11" s="647"/>
      <c r="H11" s="291" t="s">
        <v>58</v>
      </c>
      <c r="I11" s="290">
        <v>0</v>
      </c>
      <c r="J11" s="539" t="s">
        <v>53</v>
      </c>
      <c r="K11" s="541"/>
      <c r="L11" s="289">
        <f>IF($I$7=基本!$F$4,基本!$P$9,IF($I$7=基本!$F$13,基本!$P$18,IF($I$7=基本!$F$22,基本!$P$27,IF($I$7=基本!$F$31,基本!$P$36,IF($I$7=基本!$F$40,基本!$P$45,0)))))</f>
        <v>0</v>
      </c>
    </row>
    <row r="12" spans="1:14">
      <c r="A12" s="273" t="s">
        <v>459</v>
      </c>
      <c r="B12" s="642" t="s">
        <v>460</v>
      </c>
      <c r="C12" s="643"/>
      <c r="D12" s="643"/>
      <c r="E12" s="643"/>
      <c r="F12" s="643"/>
      <c r="G12" s="644"/>
      <c r="J12" s="287"/>
      <c r="K12" s="287"/>
      <c r="L12" s="230" t="s">
        <v>343</v>
      </c>
    </row>
    <row r="13" spans="1:14" ht="8.25" customHeight="1">
      <c r="A13" s="274"/>
      <c r="B13" s="645"/>
      <c r="C13" s="646"/>
      <c r="D13" s="646"/>
      <c r="E13" s="646"/>
      <c r="F13" s="646"/>
      <c r="G13" s="647"/>
      <c r="H13" s="291" t="s">
        <v>85</v>
      </c>
      <c r="I13" s="290">
        <v>3</v>
      </c>
      <c r="J13" s="291" t="s">
        <v>43</v>
      </c>
      <c r="K13" s="290">
        <v>8</v>
      </c>
      <c r="L13" s="229">
        <f>$J$10+$L$11+$I$11</f>
        <v>7</v>
      </c>
      <c r="N13" s="256"/>
    </row>
    <row r="14" spans="1:14" ht="8.25" customHeight="1">
      <c r="A14" s="266"/>
      <c r="B14" s="684"/>
      <c r="C14" s="685"/>
      <c r="D14" s="685"/>
      <c r="E14" s="685"/>
      <c r="F14" s="685"/>
      <c r="G14" s="686"/>
      <c r="H14" s="291" t="s">
        <v>49</v>
      </c>
      <c r="I14" s="245">
        <f>IF($I$7=基本!$F$4,基本!$L$11,IF($I$7=基本!$F$13,基本!$L$20,IF($I$7=基本!$F$22,基本!$L$29,IF($I$7=基本!$F$31,基本!$L$38,IF($I$7=基本!$F$40,基本!$L$47,0)))))</f>
        <v>5</v>
      </c>
      <c r="J14" s="291" t="s">
        <v>43</v>
      </c>
      <c r="K14" s="245">
        <f>IF($I$7=基本!$F$4,基本!$N$11,IF($I$7=基本!$F$13,基本!$N$20,IF($I$7=基本!$F$22,基本!$N$29,IF($I$7=基本!$F$31,基本!$N$38,IF($I$7=基本!$F$40,基本!$N$47,0)))))</f>
        <v>12</v>
      </c>
      <c r="L14" s="229">
        <f>$J$10+$L$11+$I$11+($I$13*$K$13)</f>
        <v>31</v>
      </c>
      <c r="N14" s="256"/>
    </row>
    <row r="15" spans="1:14" ht="8.25" customHeight="1">
      <c r="A15" s="274"/>
      <c r="B15" s="684"/>
      <c r="C15" s="685"/>
      <c r="D15" s="685"/>
      <c r="E15" s="685"/>
      <c r="F15" s="685"/>
      <c r="G15" s="686"/>
      <c r="H15" s="291" t="s">
        <v>59</v>
      </c>
      <c r="I15" s="290"/>
      <c r="J15" s="291" t="s">
        <v>342</v>
      </c>
      <c r="K15" s="290" t="s">
        <v>15</v>
      </c>
      <c r="L15" s="289">
        <f>IF(K15="",0,VLOOKUP(K15,基本!$A$5:'基本'!$C$10,3,FALSE))</f>
        <v>3</v>
      </c>
    </row>
    <row r="16" spans="1:14" ht="8.25" customHeight="1">
      <c r="A16" s="264"/>
      <c r="B16" s="603"/>
      <c r="C16" s="604"/>
      <c r="D16" s="604"/>
      <c r="E16" s="604"/>
      <c r="F16" s="604"/>
      <c r="G16" s="605"/>
      <c r="H16" s="287"/>
      <c r="I16" s="287"/>
      <c r="J16" s="287"/>
      <c r="K16" s="287"/>
    </row>
    <row r="17" spans="1:11" ht="14.25" thickBot="1">
      <c r="A17" s="265" t="s">
        <v>46</v>
      </c>
      <c r="E17" s="241"/>
      <c r="H17" s="287"/>
      <c r="I17" s="287"/>
      <c r="J17" s="287"/>
      <c r="K17" s="287"/>
    </row>
    <row r="18" spans="1:11" ht="15" customHeight="1">
      <c r="A18" s="728" t="str">
        <f>$B$2</f>
        <v>ウィスパー・オヴ・ドゥーム</v>
      </c>
      <c r="B18" s="729"/>
      <c r="C18" s="730"/>
      <c r="D18" s="662" t="s">
        <v>2</v>
      </c>
      <c r="E18" s="663"/>
      <c r="F18" s="664" t="s">
        <v>479</v>
      </c>
      <c r="G18" s="665"/>
      <c r="H18" s="287"/>
      <c r="I18" s="287"/>
      <c r="J18" s="287"/>
      <c r="K18" s="287"/>
    </row>
    <row r="19" spans="1:11" ht="18.75" customHeight="1" thickBot="1">
      <c r="A19" s="731"/>
      <c r="B19" s="732"/>
      <c r="C19" s="733"/>
      <c r="D19" s="312" t="s">
        <v>2</v>
      </c>
      <c r="E19" s="313" t="s">
        <v>1</v>
      </c>
      <c r="F19" s="312" t="s">
        <v>2</v>
      </c>
      <c r="G19" s="314" t="s">
        <v>1</v>
      </c>
      <c r="H19" s="287"/>
      <c r="I19" s="287"/>
      <c r="J19" s="287"/>
      <c r="K19" s="287"/>
    </row>
    <row r="20" spans="1:11" ht="24" customHeight="1">
      <c r="A20" s="611" t="s">
        <v>41</v>
      </c>
      <c r="B20" s="315" t="s">
        <v>113</v>
      </c>
      <c r="C20" s="666" t="str">
        <f>$K$8</f>
        <v>頑健</v>
      </c>
      <c r="D20" s="316" t="str">
        <f>$L$8 &amp; "+1d20"</f>
        <v>7+1d20</v>
      </c>
      <c r="E20" s="317" t="str">
        <f>$L$8+2 &amp; "+1d20"</f>
        <v>9+1d20</v>
      </c>
      <c r="F20" s="316" t="str">
        <f>$L$8 &amp; "+1d20"</f>
        <v>7+1d20</v>
      </c>
      <c r="G20" s="318" t="str">
        <f>$L$8+2 &amp; "+1d20"</f>
        <v>9+1d20</v>
      </c>
      <c r="H20" s="287"/>
      <c r="I20" s="287"/>
      <c r="J20" s="287"/>
      <c r="K20" s="287"/>
    </row>
    <row r="21" spans="1:11" ht="24" customHeight="1">
      <c r="A21" s="612"/>
      <c r="B21" s="332" t="s">
        <v>483</v>
      </c>
      <c r="C21" s="667"/>
      <c r="D21" s="325" t="str">
        <f>2+$L$8 &amp; "+1d20"</f>
        <v>9+1d20</v>
      </c>
      <c r="E21" s="326" t="str">
        <f>2+$L$8+2 &amp; "+1d20"</f>
        <v>11+1d20</v>
      </c>
      <c r="F21" s="325" t="str">
        <f>2+$L$8 &amp; "+1d20"</f>
        <v>9+1d20</v>
      </c>
      <c r="G21" s="327" t="str">
        <f>2+$L$8+2 &amp; "+1d20"</f>
        <v>11+1d20</v>
      </c>
      <c r="H21" s="287"/>
      <c r="I21" s="287"/>
      <c r="J21" s="287"/>
      <c r="K21" s="287"/>
    </row>
    <row r="22" spans="1:11" ht="24" customHeight="1">
      <c r="A22" s="612"/>
      <c r="B22" s="328" t="s">
        <v>476</v>
      </c>
      <c r="C22" s="667"/>
      <c r="D22" s="329" t="str">
        <f>3+$L$8 &amp; "+1d20"</f>
        <v>10+1d20</v>
      </c>
      <c r="E22" s="330" t="str">
        <f>3+$L$8+2 &amp; "+1d20"</f>
        <v>12+1d20</v>
      </c>
      <c r="F22" s="329" t="str">
        <f>3+$L$8 &amp; "+1d20"</f>
        <v>10+1d20</v>
      </c>
      <c r="G22" s="331" t="str">
        <f>3+$L$8+2 &amp; "+1d20"</f>
        <v>12+1d20</v>
      </c>
      <c r="H22" s="287"/>
      <c r="I22" s="287"/>
      <c r="J22" s="287"/>
      <c r="K22" s="287"/>
    </row>
    <row r="23" spans="1:11" ht="24" customHeight="1" thickBot="1">
      <c r="A23" s="613"/>
      <c r="B23" s="324" t="s">
        <v>482</v>
      </c>
      <c r="C23" s="668"/>
      <c r="D23" s="319" t="str">
        <f>2+3+$L$8 &amp; "+1d20"</f>
        <v>12+1d20</v>
      </c>
      <c r="E23" s="320" t="str">
        <f>2+3+$L$8+2 &amp; "+1d20"</f>
        <v>14+1d20</v>
      </c>
      <c r="F23" s="319" t="str">
        <f>2+3+$L$8 &amp; "+1d20"</f>
        <v>12+1d20</v>
      </c>
      <c r="G23" s="321" t="str">
        <f>2+3+$L$8+2 &amp; "+1d20"</f>
        <v>14+1d20</v>
      </c>
      <c r="H23" s="287"/>
      <c r="I23" s="287"/>
      <c r="J23" s="287"/>
      <c r="K23" s="287"/>
    </row>
    <row r="24" spans="1:11" ht="23.25" customHeight="1">
      <c r="A24" s="818" t="s">
        <v>113</v>
      </c>
      <c r="B24" s="257" t="s">
        <v>4</v>
      </c>
      <c r="C24" s="267" t="str">
        <f>IF($I$15 = 0,"", $I$15)</f>
        <v/>
      </c>
      <c r="D24" s="277" t="str">
        <f>$L$13 &amp; "+" &amp; $I$13 &amp; "d" &amp; $K$13</f>
        <v>7+3d8</v>
      </c>
      <c r="E24" s="322" t="str">
        <f>$L$13 &amp; "+" &amp; $I$13 &amp; "d" &amp; $K$13</f>
        <v>7+3d8</v>
      </c>
      <c r="F24" s="277" t="str">
        <f>3+$L$13 &amp; "+" &amp; $I$13 &amp; "d" &amp; $K$13</f>
        <v>10+3d8</v>
      </c>
      <c r="G24" s="278" t="str">
        <f>3+$L$13 &amp; "+" &amp; $I$13 &amp; "d" &amp; $K$13</f>
        <v>10+3d8</v>
      </c>
      <c r="H24" s="287"/>
      <c r="I24" s="287"/>
      <c r="J24" s="287"/>
      <c r="K24" s="287"/>
    </row>
    <row r="25" spans="1:11" ht="23.25" customHeight="1" thickBot="1">
      <c r="A25" s="819"/>
      <c r="B25" s="247" t="s">
        <v>3</v>
      </c>
      <c r="C25" s="258" t="str">
        <f>IF($I$15 = 0,"", $I$15)</f>
        <v/>
      </c>
      <c r="D25" s="276" t="str">
        <f>$L$14 &amp; IF($I$14 = 0,"","+" &amp; $I$14 &amp; "d" &amp; $K$14)</f>
        <v>31+5d12</v>
      </c>
      <c r="E25" s="323" t="str">
        <f>$L$14 &amp; IF($I$14 = 0,"","+" &amp; $I$14 &amp; "d" &amp; $K$14)</f>
        <v>31+5d12</v>
      </c>
      <c r="F25" s="276" t="str">
        <f>3+$L$14 &amp; IF($I$14 = 0,"","+" &amp; $I$14 &amp; "d" &amp; $K$14)</f>
        <v>34+5d12</v>
      </c>
      <c r="G25" s="275" t="str">
        <f>3+$L$14 &amp; IF($I$14 = 0,"","+" &amp; $I$14 &amp; "d" &amp; $K$14)</f>
        <v>34+5d12</v>
      </c>
      <c r="H25" s="287"/>
      <c r="I25" s="287"/>
      <c r="J25" s="287"/>
      <c r="K25" s="287"/>
    </row>
    <row r="26" spans="1:11" ht="8.25" customHeight="1">
      <c r="A26" s="523"/>
      <c r="B26" s="523"/>
      <c r="C26" s="523"/>
      <c r="D26" s="523"/>
      <c r="E26" s="523"/>
      <c r="F26" s="523"/>
      <c r="G26" s="523"/>
    </row>
    <row r="27" spans="1:11" ht="14.25">
      <c r="A27" s="517" t="s">
        <v>493</v>
      </c>
      <c r="B27" s="517"/>
      <c r="C27" s="517"/>
      <c r="D27" s="517"/>
      <c r="E27" s="517"/>
      <c r="F27" s="517"/>
      <c r="G27" s="517"/>
    </row>
    <row r="28" spans="1:11" ht="13.5" customHeight="1">
      <c r="A28" s="529" t="s">
        <v>159</v>
      </c>
      <c r="B28" s="529"/>
      <c r="C28" s="529"/>
      <c r="D28" s="529"/>
      <c r="E28" s="529"/>
      <c r="F28" s="529"/>
      <c r="G28" s="529"/>
    </row>
    <row r="29" spans="1:11" ht="13.5" customHeight="1">
      <c r="A29" s="525" t="s">
        <v>160</v>
      </c>
      <c r="B29" s="525"/>
      <c r="C29" s="525"/>
      <c r="D29" s="525"/>
      <c r="E29" s="525"/>
      <c r="F29" s="525"/>
      <c r="G29" s="525"/>
    </row>
    <row r="30" spans="1:11" ht="14.25">
      <c r="A30" s="517" t="s">
        <v>147</v>
      </c>
      <c r="B30" s="517"/>
      <c r="C30" s="517"/>
      <c r="D30" s="517"/>
      <c r="E30" s="517"/>
      <c r="F30" s="517"/>
      <c r="G30" s="517"/>
      <c r="I30" s="287"/>
      <c r="J30" s="287"/>
      <c r="K30" s="287"/>
    </row>
    <row r="31" spans="1:11" ht="13.5" customHeight="1">
      <c r="A31" s="529" t="s">
        <v>130</v>
      </c>
      <c r="B31" s="529"/>
      <c r="C31" s="529"/>
      <c r="D31" s="529"/>
      <c r="E31" s="529"/>
      <c r="F31" s="529"/>
      <c r="G31" s="529"/>
    </row>
    <row r="32" spans="1:11" ht="14.25">
      <c r="A32" s="517" t="s">
        <v>437</v>
      </c>
      <c r="B32" s="517"/>
      <c r="C32" s="517"/>
      <c r="D32" s="517"/>
      <c r="E32" s="517"/>
      <c r="F32" s="517"/>
      <c r="G32" s="517"/>
      <c r="I32" s="287"/>
      <c r="J32" s="287"/>
      <c r="K32" s="287"/>
    </row>
    <row r="33" spans="1:13" ht="13.5" customHeight="1">
      <c r="A33" s="529" t="s">
        <v>506</v>
      </c>
      <c r="B33" s="529"/>
      <c r="C33" s="529"/>
      <c r="D33" s="529"/>
      <c r="E33" s="529"/>
      <c r="F33" s="529"/>
      <c r="G33" s="529"/>
    </row>
    <row r="34" spans="1:13" ht="13.5" customHeight="1">
      <c r="A34" s="525" t="s">
        <v>507</v>
      </c>
      <c r="B34" s="525"/>
      <c r="C34" s="525"/>
      <c r="D34" s="525"/>
      <c r="E34" s="525"/>
      <c r="F34" s="525"/>
      <c r="G34" s="525"/>
    </row>
    <row r="35" spans="1:13" ht="14.25">
      <c r="A35" s="517" t="s">
        <v>973</v>
      </c>
      <c r="B35" s="517"/>
      <c r="C35" s="517"/>
      <c r="D35" s="517"/>
      <c r="E35" s="517"/>
      <c r="F35" s="517"/>
      <c r="G35" s="517"/>
      <c r="I35" s="287"/>
      <c r="J35" s="287"/>
      <c r="K35" s="287"/>
    </row>
    <row r="36" spans="1:13" ht="13.5" customHeight="1">
      <c r="A36" s="529" t="s">
        <v>440</v>
      </c>
      <c r="B36" s="529"/>
      <c r="C36" s="529"/>
      <c r="D36" s="529"/>
      <c r="E36" s="529"/>
      <c r="F36" s="529"/>
      <c r="G36" s="529"/>
    </row>
    <row r="37" spans="1:13" ht="13.5" customHeight="1">
      <c r="A37" s="525" t="s">
        <v>441</v>
      </c>
      <c r="B37" s="525"/>
      <c r="C37" s="525"/>
      <c r="D37" s="525"/>
      <c r="E37" s="525"/>
      <c r="F37" s="525"/>
      <c r="G37" s="525"/>
    </row>
    <row r="38" spans="1:13" ht="13.5" customHeight="1">
      <c r="A38" s="525" t="s">
        <v>442</v>
      </c>
      <c r="B38" s="525"/>
      <c r="C38" s="525"/>
      <c r="D38" s="525"/>
      <c r="E38" s="525"/>
      <c r="F38" s="525"/>
      <c r="G38" s="525"/>
    </row>
    <row r="39" spans="1:13" ht="8.25" customHeight="1">
      <c r="A39" s="604"/>
      <c r="B39" s="604"/>
      <c r="C39" s="604"/>
      <c r="D39" s="604"/>
      <c r="E39" s="604"/>
      <c r="F39" s="604"/>
      <c r="G39" s="604"/>
    </row>
    <row r="40" spans="1:13">
      <c r="A40" s="619" t="s">
        <v>48</v>
      </c>
      <c r="B40" s="620"/>
      <c r="C40" s="620"/>
      <c r="D40" s="620"/>
      <c r="E40" s="620"/>
      <c r="F40" s="620"/>
      <c r="G40" s="621"/>
    </row>
    <row r="41" spans="1:13" s="283" customFormat="1" ht="13.5" customHeight="1">
      <c r="A41" s="645"/>
      <c r="B41" s="646"/>
      <c r="C41" s="646"/>
      <c r="D41" s="646"/>
      <c r="E41" s="646"/>
      <c r="F41" s="646"/>
      <c r="G41" s="647"/>
      <c r="L41" s="284"/>
      <c r="M41" s="284"/>
    </row>
    <row r="42" spans="1:13" s="283" customFormat="1" ht="13.5" customHeight="1">
      <c r="A42" s="645"/>
      <c r="B42" s="646"/>
      <c r="C42" s="646"/>
      <c r="D42" s="646"/>
      <c r="E42" s="646"/>
      <c r="F42" s="646"/>
      <c r="G42" s="647"/>
      <c r="L42" s="284"/>
      <c r="M42" s="284"/>
    </row>
    <row r="43" spans="1:13" s="283" customFormat="1" ht="13.5" customHeight="1">
      <c r="A43" s="645"/>
      <c r="B43" s="646"/>
      <c r="C43" s="646"/>
      <c r="D43" s="646"/>
      <c r="E43" s="646"/>
      <c r="F43" s="646"/>
      <c r="G43" s="647"/>
      <c r="L43" s="284"/>
      <c r="M43" s="284"/>
    </row>
    <row r="44" spans="1:13" s="283" customFormat="1" ht="13.5" customHeight="1">
      <c r="A44" s="645"/>
      <c r="B44" s="646"/>
      <c r="C44" s="646"/>
      <c r="D44" s="646"/>
      <c r="E44" s="646"/>
      <c r="F44" s="646"/>
      <c r="G44" s="647"/>
      <c r="L44" s="284"/>
      <c r="M44" s="284"/>
    </row>
    <row r="45" spans="1:13" s="283" customFormat="1" ht="13.5" customHeight="1">
      <c r="A45" s="645"/>
      <c r="B45" s="646"/>
      <c r="C45" s="646"/>
      <c r="D45" s="646"/>
      <c r="E45" s="646"/>
      <c r="F45" s="646"/>
      <c r="G45" s="647"/>
      <c r="L45" s="284"/>
      <c r="M45" s="284"/>
    </row>
    <row r="46" spans="1:13" s="283" customFormat="1" ht="13.5" customHeight="1">
      <c r="A46" s="645"/>
      <c r="B46" s="646"/>
      <c r="C46" s="646"/>
      <c r="D46" s="646"/>
      <c r="E46" s="646"/>
      <c r="F46" s="646"/>
      <c r="G46" s="647"/>
      <c r="L46" s="284"/>
      <c r="M46" s="284"/>
    </row>
    <row r="47" spans="1:13" s="283" customFormat="1" ht="13.5" customHeight="1">
      <c r="A47" s="645"/>
      <c r="B47" s="646"/>
      <c r="C47" s="646"/>
      <c r="D47" s="646"/>
      <c r="E47" s="646"/>
      <c r="F47" s="646"/>
      <c r="G47" s="647"/>
      <c r="L47" s="284"/>
      <c r="M47" s="284"/>
    </row>
    <row r="48" spans="1:13" s="283" customFormat="1" ht="13.5" customHeight="1">
      <c r="A48" s="645"/>
      <c r="B48" s="646"/>
      <c r="C48" s="646"/>
      <c r="D48" s="646"/>
      <c r="E48" s="646"/>
      <c r="F48" s="646"/>
      <c r="G48" s="647"/>
      <c r="L48" s="284"/>
      <c r="M48" s="284"/>
    </row>
    <row r="49" spans="1:13" s="283" customFormat="1" ht="13.5" customHeight="1">
      <c r="A49" s="645"/>
      <c r="B49" s="646"/>
      <c r="C49" s="646"/>
      <c r="D49" s="646"/>
      <c r="E49" s="646"/>
      <c r="F49" s="646"/>
      <c r="G49" s="647"/>
      <c r="L49" s="284"/>
      <c r="M49" s="284"/>
    </row>
    <row r="50" spans="1:13" s="283" customFormat="1" ht="13.5" customHeight="1">
      <c r="A50" s="645"/>
      <c r="B50" s="646"/>
      <c r="C50" s="646"/>
      <c r="D50" s="646"/>
      <c r="E50" s="646"/>
      <c r="F50" s="646"/>
      <c r="G50" s="647"/>
      <c r="L50" s="284"/>
      <c r="M50" s="284"/>
    </row>
    <row r="51" spans="1:13" s="283" customFormat="1" ht="13.5" customHeight="1">
      <c r="A51" s="645"/>
      <c r="B51" s="646"/>
      <c r="C51" s="646"/>
      <c r="D51" s="646"/>
      <c r="E51" s="646"/>
      <c r="F51" s="646"/>
      <c r="G51" s="647"/>
      <c r="L51" s="284"/>
      <c r="M51" s="284"/>
    </row>
    <row r="52" spans="1:13" s="283" customFormat="1" ht="13.5" customHeight="1">
      <c r="A52" s="645"/>
      <c r="B52" s="646"/>
      <c r="C52" s="646"/>
      <c r="D52" s="646"/>
      <c r="E52" s="646"/>
      <c r="F52" s="646"/>
      <c r="G52" s="647"/>
      <c r="L52" s="284"/>
      <c r="M52" s="284"/>
    </row>
    <row r="53" spans="1:13" s="283" customFormat="1" ht="13.5" customHeight="1">
      <c r="A53" s="645"/>
      <c r="B53" s="646"/>
      <c r="C53" s="646"/>
      <c r="D53" s="646"/>
      <c r="E53" s="646"/>
      <c r="F53" s="646"/>
      <c r="G53" s="647"/>
      <c r="L53" s="284"/>
      <c r="M53" s="284"/>
    </row>
    <row r="54" spans="1:13" s="283" customFormat="1" ht="13.5" customHeight="1">
      <c r="A54" s="645"/>
      <c r="B54" s="646"/>
      <c r="C54" s="646"/>
      <c r="D54" s="646"/>
      <c r="E54" s="646"/>
      <c r="F54" s="646"/>
      <c r="G54" s="647"/>
      <c r="L54" s="284"/>
      <c r="M54" s="284"/>
    </row>
    <row r="55" spans="1:13" s="283" customFormat="1" ht="13.5" customHeight="1">
      <c r="A55" s="645"/>
      <c r="B55" s="646"/>
      <c r="C55" s="646"/>
      <c r="D55" s="646"/>
      <c r="E55" s="646"/>
      <c r="F55" s="646"/>
      <c r="G55" s="647"/>
      <c r="L55" s="284"/>
      <c r="M55" s="284"/>
    </row>
    <row r="56" spans="1:13" s="288" customFormat="1" ht="21">
      <c r="A56" s="119" t="s">
        <v>114</v>
      </c>
      <c r="B56" s="294">
        <f>$B$1</f>
        <v>20</v>
      </c>
      <c r="C56" s="121" t="s">
        <v>39</v>
      </c>
      <c r="D56" s="122" t="str">
        <f>$E$1</f>
        <v>一日毎</v>
      </c>
      <c r="E56" s="725" t="str">
        <f>$B$2</f>
        <v>ウィスパー・オヴ・ドゥーム</v>
      </c>
      <c r="F56" s="726"/>
      <c r="G56" s="727"/>
      <c r="L56" s="287"/>
      <c r="M56" s="287"/>
    </row>
  </sheetData>
  <mergeCells count="56">
    <mergeCell ref="A31:G31"/>
    <mergeCell ref="A37:G37"/>
    <mergeCell ref="A38:G38"/>
    <mergeCell ref="A32:G32"/>
    <mergeCell ref="A33:G33"/>
    <mergeCell ref="A34:G34"/>
    <mergeCell ref="A35:G35"/>
    <mergeCell ref="A36:G36"/>
    <mergeCell ref="E56:G56"/>
    <mergeCell ref="A42:G42"/>
    <mergeCell ref="A46:G46"/>
    <mergeCell ref="A47:G47"/>
    <mergeCell ref="A48:G48"/>
    <mergeCell ref="A49:G49"/>
    <mergeCell ref="A50:G50"/>
    <mergeCell ref="A43:G43"/>
    <mergeCell ref="A44:G44"/>
    <mergeCell ref="A45:G45"/>
    <mergeCell ref="A51:G51"/>
    <mergeCell ref="A52:G52"/>
    <mergeCell ref="A53:G53"/>
    <mergeCell ref="A54:G54"/>
    <mergeCell ref="A55:G55"/>
    <mergeCell ref="A41:G41"/>
    <mergeCell ref="A39:G39"/>
    <mergeCell ref="A40:G40"/>
    <mergeCell ref="B15:G15"/>
    <mergeCell ref="B16:G16"/>
    <mergeCell ref="A26:G26"/>
    <mergeCell ref="A18:C19"/>
    <mergeCell ref="D18:E18"/>
    <mergeCell ref="F18:G18"/>
    <mergeCell ref="A20:A23"/>
    <mergeCell ref="C20:C23"/>
    <mergeCell ref="A24:A25"/>
    <mergeCell ref="A27:G27"/>
    <mergeCell ref="A28:G28"/>
    <mergeCell ref="A29:G29"/>
    <mergeCell ref="A30:G30"/>
    <mergeCell ref="B11:G11"/>
    <mergeCell ref="J11:K11"/>
    <mergeCell ref="B12:G12"/>
    <mergeCell ref="B13:G13"/>
    <mergeCell ref="B14:G14"/>
    <mergeCell ref="J9:K9"/>
    <mergeCell ref="B10:G10"/>
    <mergeCell ref="B1:C1"/>
    <mergeCell ref="F1:G1"/>
    <mergeCell ref="B2:G2"/>
    <mergeCell ref="B4:G4"/>
    <mergeCell ref="H4:L4"/>
    <mergeCell ref="B5:G5"/>
    <mergeCell ref="B6:D6"/>
    <mergeCell ref="B7:D7"/>
    <mergeCell ref="B8:G8"/>
    <mergeCell ref="B9:G9"/>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 type="list" allowBlank="1" showInputMessage="1" showErrorMessage="1">
          <x14:formula1>
            <xm:f>基本!$A$5:$A$10</xm:f>
          </x14:formula1>
          <xm:sqref>I8 I10 K15</xm:sqref>
        </x14:dataValidation>
        <x14:dataValidation type="list" allowBlank="1" showInputMessage="1" showErrorMessage="1">
          <x14:formula1>
            <xm:f>基本!$D$27:$D$31</xm:f>
          </x14:formula1>
          <xm:sqref>I7</xm:sqref>
        </x14:dataValidation>
        <x14:dataValidation type="list" allowBlank="1" showInputMessage="1" showErrorMessage="1">
          <x14:formula1>
            <xm:f>基本!$A$16:$A$19</xm:f>
          </x14:formula1>
          <xm:sqref>K8</xm:sqref>
        </x14:dataValidation>
        <x14:dataValidation type="list" allowBlank="1" showInputMessage="1" showErrorMessage="1">
          <x14:formula1>
            <xm:f>基本!$C$27:$C$37</xm:f>
          </x14:formula1>
          <xm:sqref>I15</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R48"/>
  <sheetViews>
    <sheetView zoomScaleNormal="100" workbookViewId="0"/>
  </sheetViews>
  <sheetFormatPr defaultRowHeight="13.5"/>
  <cols>
    <col min="1" max="1" width="7.875" style="115" customWidth="1"/>
    <col min="2" max="2" width="8.5" style="115" customWidth="1"/>
    <col min="3" max="3" width="6.625" style="115" customWidth="1"/>
    <col min="4" max="4" width="15.75" style="115" customWidth="1"/>
    <col min="5" max="6" width="15.75" style="88" customWidth="1"/>
    <col min="7" max="7" width="18.25" style="88" customWidth="1"/>
    <col min="8" max="8" width="17.375" style="88" customWidth="1"/>
    <col min="9" max="9" width="14.625" style="88" customWidth="1"/>
    <col min="10" max="10" width="8.375" style="88" customWidth="1"/>
    <col min="11" max="11" width="7.5" style="88" customWidth="1"/>
    <col min="12" max="12" width="7.875" style="115" customWidth="1"/>
    <col min="13" max="13" width="7.875" style="133" customWidth="1"/>
    <col min="14" max="14" width="17.875" style="115" bestFit="1" customWidth="1"/>
    <col min="15" max="15" width="12.375" style="115" customWidth="1"/>
    <col min="16" max="16384" width="9" style="115"/>
  </cols>
  <sheetData>
    <row r="1" spans="1:18" ht="21">
      <c r="A1" s="116" t="s">
        <v>119</v>
      </c>
      <c r="B1" s="734">
        <v>1</v>
      </c>
      <c r="C1" s="735"/>
      <c r="D1" s="117" t="s">
        <v>39</v>
      </c>
      <c r="E1" s="118" t="s">
        <v>120</v>
      </c>
      <c r="F1" s="736"/>
      <c r="G1" s="737"/>
      <c r="H1" s="93" t="s">
        <v>54</v>
      </c>
    </row>
    <row r="2" spans="1:18" ht="24.75" customHeight="1">
      <c r="A2" s="117" t="s">
        <v>0</v>
      </c>
      <c r="B2" s="738" t="s">
        <v>374</v>
      </c>
      <c r="C2" s="738"/>
      <c r="D2" s="738"/>
      <c r="E2" s="738"/>
      <c r="F2" s="738"/>
      <c r="G2" s="738"/>
      <c r="H2" s="93" t="s">
        <v>55</v>
      </c>
    </row>
    <row r="3" spans="1:18" ht="19.5" customHeight="1">
      <c r="A3" s="99" t="s">
        <v>47</v>
      </c>
      <c r="B3" s="88"/>
      <c r="C3" s="88"/>
      <c r="D3" s="88"/>
      <c r="I3" s="93"/>
    </row>
    <row r="4" spans="1:18">
      <c r="A4" s="72" t="s">
        <v>45</v>
      </c>
      <c r="B4" s="628" t="s">
        <v>375</v>
      </c>
      <c r="C4" s="629"/>
      <c r="D4" s="629"/>
      <c r="E4" s="629"/>
      <c r="F4" s="629"/>
      <c r="G4" s="630"/>
      <c r="H4" s="539" t="s">
        <v>339</v>
      </c>
      <c r="I4" s="540"/>
      <c r="J4" s="540"/>
      <c r="K4" s="540"/>
      <c r="L4" s="541"/>
      <c r="N4" s="539" t="s">
        <v>338</v>
      </c>
      <c r="O4" s="540"/>
      <c r="P4" s="540"/>
      <c r="Q4" s="540"/>
      <c r="R4" s="541"/>
    </row>
    <row r="5" spans="1:18">
      <c r="A5" s="73" t="s">
        <v>121</v>
      </c>
      <c r="B5" s="628" t="s">
        <v>376</v>
      </c>
      <c r="C5" s="629"/>
      <c r="D5" s="629"/>
      <c r="E5" s="629"/>
      <c r="F5" s="629"/>
      <c r="G5" s="630"/>
      <c r="H5" s="112" t="s">
        <v>42</v>
      </c>
      <c r="I5" s="114" t="s">
        <v>70</v>
      </c>
      <c r="J5" s="114">
        <v>5</v>
      </c>
      <c r="N5" s="205" t="s">
        <v>42</v>
      </c>
      <c r="O5" s="207" t="s">
        <v>68</v>
      </c>
      <c r="P5" s="207">
        <v>1</v>
      </c>
      <c r="Q5" s="88"/>
      <c r="R5" s="133"/>
    </row>
    <row r="6" spans="1:18">
      <c r="A6" s="73" t="s">
        <v>122</v>
      </c>
      <c r="B6" s="628" t="s">
        <v>126</v>
      </c>
      <c r="C6" s="629"/>
      <c r="D6" s="630"/>
      <c r="E6" s="112" t="s">
        <v>42</v>
      </c>
      <c r="F6" s="195" t="str">
        <f>$I$5</f>
        <v>遠隔</v>
      </c>
      <c r="G6" s="195">
        <f>IF($J$5 = 0,"", $J$5)</f>
        <v>5</v>
      </c>
      <c r="H6" s="112" t="s">
        <v>65</v>
      </c>
      <c r="I6" s="114"/>
      <c r="J6" s="114"/>
      <c r="N6" s="205" t="s">
        <v>65</v>
      </c>
      <c r="O6" s="207"/>
      <c r="P6" s="207"/>
      <c r="Q6" s="88"/>
      <c r="R6" s="133"/>
    </row>
    <row r="7" spans="1:18">
      <c r="A7" s="123" t="s">
        <v>6</v>
      </c>
      <c r="B7" s="760"/>
      <c r="C7" s="761"/>
      <c r="D7" s="762"/>
      <c r="E7" s="112" t="s">
        <v>65</v>
      </c>
      <c r="F7" s="113" t="str">
        <f>IF($I$6 = 0,"", $I$6)</f>
        <v/>
      </c>
      <c r="G7" s="113" t="str">
        <f>IF($J$6 = 0,"", $J$6)</f>
        <v/>
      </c>
      <c r="H7" s="112" t="s">
        <v>84</v>
      </c>
      <c r="I7" s="114" t="s">
        <v>112</v>
      </c>
      <c r="J7" s="93" t="s">
        <v>61</v>
      </c>
      <c r="L7" s="230" t="s">
        <v>343</v>
      </c>
      <c r="N7" s="205" t="s">
        <v>84</v>
      </c>
      <c r="O7" s="207" t="s">
        <v>322</v>
      </c>
      <c r="P7" s="93" t="s">
        <v>61</v>
      </c>
      <c r="Q7" s="88"/>
      <c r="R7" s="230" t="s">
        <v>343</v>
      </c>
    </row>
    <row r="8" spans="1:18">
      <c r="A8" s="160" t="s">
        <v>167</v>
      </c>
      <c r="B8" s="642" t="s">
        <v>168</v>
      </c>
      <c r="C8" s="643"/>
      <c r="D8" s="643"/>
      <c r="E8" s="643"/>
      <c r="F8" s="643"/>
      <c r="G8" s="644"/>
      <c r="H8" s="112" t="s">
        <v>50</v>
      </c>
      <c r="I8" s="114" t="s">
        <v>139</v>
      </c>
      <c r="J8" s="113">
        <f>IF($I$8 = "筋力",基本!$C$5,IF($I$8 = "耐久力",基本!$C$6,IF($I$8 = "敏捷力",基本!$C$7,IF($I$8 = "知力",基本!$C$8,IF($I$8 = "判断力",基本!$C$9,IF($I$8 = "判断力",基本!$C$10,""))))))</f>
        <v>7</v>
      </c>
      <c r="K8" s="114" t="s">
        <v>20</v>
      </c>
      <c r="L8" s="229">
        <f>$J$8+$L$9+$I$9</f>
        <v>22</v>
      </c>
      <c r="N8" s="205" t="s">
        <v>50</v>
      </c>
      <c r="O8" s="207" t="s">
        <v>12</v>
      </c>
      <c r="P8" s="206">
        <f>IF($O$8 = "筋力",基本!$C$5,IF($O$8 = "耐久力",基本!$C$6,IF($O$8 = "敏捷力",基本!$C$7,IF($O$8 = "知力",基本!$C$8,IF($O$8 = "判断力",基本!$C$29,IF($O$8 = "判断力",基本!$C$10,""))))))</f>
        <v>0</v>
      </c>
      <c r="Q8" s="207" t="s">
        <v>323</v>
      </c>
      <c r="R8" s="229">
        <f>$P$8+$O$9+$R$9</f>
        <v>0</v>
      </c>
    </row>
    <row r="9" spans="1:18">
      <c r="A9" s="76"/>
      <c r="B9" s="645" t="s">
        <v>377</v>
      </c>
      <c r="C9" s="646"/>
      <c r="D9" s="646"/>
      <c r="E9" s="646"/>
      <c r="F9" s="646"/>
      <c r="G9" s="647"/>
      <c r="H9" s="112" t="s">
        <v>57</v>
      </c>
      <c r="I9" s="114">
        <v>0</v>
      </c>
      <c r="J9" s="539" t="s">
        <v>52</v>
      </c>
      <c r="K9" s="541"/>
      <c r="L9" s="113">
        <f>IF($I$7=基本!$F$4,基本!$O$7,IF($I$7=基本!$F$13,基本!$O$16,IF($I$7=基本!$F$22,基本!$O$25,IF($I$7=基本!$F$31,基本!$O$34,IF($I$7=基本!$F$40,基本!$O$43,0)))))</f>
        <v>15</v>
      </c>
      <c r="N9" s="205" t="s">
        <v>57</v>
      </c>
      <c r="O9" s="207">
        <v>0</v>
      </c>
      <c r="P9" s="539" t="s">
        <v>52</v>
      </c>
      <c r="Q9" s="541"/>
      <c r="R9" s="206">
        <f>IF($O$7=基本!$F$4,基本!$P$7,IF($O$7=基本!$F$13,基本!$P$16,IF($O$7=基本!$F$22,基本!$P$25,IF($O$7=基本!$F$31,基本!$P$34,IF($O$7=基本!$F$40,基本!$P$43,0)))))</f>
        <v>0</v>
      </c>
    </row>
    <row r="10" spans="1:18">
      <c r="A10" s="76"/>
      <c r="B10" s="645" t="s">
        <v>378</v>
      </c>
      <c r="C10" s="646"/>
      <c r="D10" s="646"/>
      <c r="E10" s="646"/>
      <c r="F10" s="646"/>
      <c r="G10" s="647"/>
      <c r="H10" s="98" t="s">
        <v>51</v>
      </c>
      <c r="I10" s="114" t="s">
        <v>139</v>
      </c>
      <c r="J10" s="97">
        <f>IF($I$10 = "筋力",基本!$C$5,IF($I$10 = "耐久力",基本!$C$6,IF($I$10 = "敏捷力",基本!$C$7,IF($I$10 = "知力",基本!$C$8,IF($I$10 = "判断力",基本!$C$9,IF($I$10 = "判断力",基本!$C$10,""))))))</f>
        <v>7</v>
      </c>
      <c r="L10" s="88"/>
      <c r="N10" s="203" t="s">
        <v>51</v>
      </c>
      <c r="O10" s="207" t="s">
        <v>12</v>
      </c>
      <c r="P10" s="97">
        <f>IF($O$10 = "筋力",基本!$C$5,IF($O$10 = "耐久力",基本!$C$6,IF($O$10 = "敏捷力",基本!$C$7,IF($O$10 = "知力",基本!$C$8,IF($O$10 = "判断力",基本!$C$29,IF($O$10 = "判断力",基本!$C$10,""))))))</f>
        <v>0</v>
      </c>
      <c r="Q10" s="88"/>
      <c r="R10" s="88"/>
    </row>
    <row r="11" spans="1:18">
      <c r="A11" s="76"/>
      <c r="B11" s="645" t="s">
        <v>169</v>
      </c>
      <c r="C11" s="646"/>
      <c r="D11" s="646"/>
      <c r="E11" s="646"/>
      <c r="F11" s="646"/>
      <c r="G11" s="647"/>
      <c r="H11" s="112" t="s">
        <v>58</v>
      </c>
      <c r="I11" s="114">
        <v>0</v>
      </c>
      <c r="J11" s="539" t="s">
        <v>53</v>
      </c>
      <c r="K11" s="541"/>
      <c r="L11" s="113">
        <f>IF($I$7=基本!$F$4,基本!$O$9,IF($I$7=基本!$F$13,基本!$O$18,IF($I$7=基本!$F$22,基本!$O$27,IF($I$7=基本!$F$31,基本!$O$36,IF($I$7=基本!$F$40,基本!$O$45,0)))))</f>
        <v>4</v>
      </c>
      <c r="N11" s="205" t="s">
        <v>58</v>
      </c>
      <c r="O11" s="207">
        <v>0</v>
      </c>
      <c r="P11" s="539" t="s">
        <v>53</v>
      </c>
      <c r="Q11" s="541"/>
      <c r="R11" s="206">
        <f>IF($O$7=基本!$F$4,基本!$P$9,IF($O$7=基本!$F$13,基本!$P$18,IF($O$7=基本!$F$22,基本!$P$27,IF($O$7=基本!$F$31,基本!$P$36,IF($O$7=基本!$F$40,基本!$P$45,0)))))</f>
        <v>0</v>
      </c>
    </row>
    <row r="12" spans="1:18" ht="13.5" customHeight="1">
      <c r="A12" s="76"/>
      <c r="B12" s="645" t="s">
        <v>379</v>
      </c>
      <c r="C12" s="646"/>
      <c r="D12" s="646"/>
      <c r="E12" s="646"/>
      <c r="F12" s="646"/>
      <c r="G12" s="647"/>
      <c r="H12" s="133"/>
      <c r="I12" s="133"/>
      <c r="L12" s="230" t="s">
        <v>343</v>
      </c>
      <c r="N12" s="222" t="s">
        <v>340</v>
      </c>
      <c r="O12" s="220">
        <v>1</v>
      </c>
      <c r="P12" s="133"/>
      <c r="Q12" s="133"/>
      <c r="R12" s="230" t="s">
        <v>343</v>
      </c>
    </row>
    <row r="13" spans="1:18" ht="13.5" customHeight="1">
      <c r="A13" s="76"/>
      <c r="B13" s="645" t="s">
        <v>380</v>
      </c>
      <c r="C13" s="646"/>
      <c r="D13" s="646"/>
      <c r="E13" s="646"/>
      <c r="F13" s="646"/>
      <c r="G13" s="647"/>
      <c r="H13" s="219" t="s">
        <v>85</v>
      </c>
      <c r="I13" s="114">
        <v>2</v>
      </c>
      <c r="J13" s="112" t="s">
        <v>43</v>
      </c>
      <c r="K13" s="114">
        <v>12</v>
      </c>
      <c r="L13" s="229">
        <f>$J$10+$L$11+$I$11</f>
        <v>11</v>
      </c>
      <c r="N13" s="222" t="s">
        <v>85</v>
      </c>
      <c r="O13" s="32">
        <f>IF($O$7=基本!$F$4,基本!$F$9,IF($O$7=基本!$F$13,基本!$F$18,IF($O$7=基本!$F$22,基本!$F$27,IF($O$7=基本!$F$31,基本!$F$36,IF($O$7=基本!$F$40,基本!$F$45,0)))))*$O$12</f>
        <v>1</v>
      </c>
      <c r="P13" s="219" t="s">
        <v>341</v>
      </c>
      <c r="Q13" s="32">
        <f>IF($O$7=基本!$F$4,基本!$H$9,IF($O$7=基本!$F$13,基本!$H$18,IF($O$7=基本!$F$22,基本!$H$27,IF($O$7=基本!$F$31,基本!$H$36,IF($O$7=基本!$F$40,基本!$H$45,0)))))</f>
        <v>4</v>
      </c>
      <c r="R13" s="229">
        <f>$P$10+$O$11+$R$11</f>
        <v>0</v>
      </c>
    </row>
    <row r="14" spans="1:18" ht="13.5" customHeight="1">
      <c r="A14" s="124"/>
      <c r="B14" s="645" t="s">
        <v>170</v>
      </c>
      <c r="C14" s="646"/>
      <c r="D14" s="646"/>
      <c r="E14" s="646"/>
      <c r="F14" s="646"/>
      <c r="G14" s="647"/>
      <c r="H14" s="112" t="s">
        <v>49</v>
      </c>
      <c r="I14" s="32">
        <f>IF($I$7=基本!$F$4,基本!$L$11,IF($I$7=基本!$F$13,基本!$L$20,IF($I$7=基本!$F$22,基本!$L$29,IF($I$7=基本!$F$31,基本!$L$38,IF($I$7=基本!$F$40,基本!$L$47,0)))))</f>
        <v>5</v>
      </c>
      <c r="J14" s="219" t="s">
        <v>341</v>
      </c>
      <c r="K14" s="32">
        <f>IF($I$7=基本!$F$4,基本!$N$11,IF($I$7=基本!$F$13,基本!$N$20,IF($I$7=基本!$F$22,基本!$N$29,IF($I$7=基本!$F$31,基本!$N$38,IF($I$7=基本!$F$40,基本!$N$47,0)))))</f>
        <v>12</v>
      </c>
      <c r="L14" s="229">
        <f>$J$10+$L$11+$I$11+($I$13*$K$13)</f>
        <v>35</v>
      </c>
      <c r="N14" s="219" t="s">
        <v>49</v>
      </c>
      <c r="O14" s="32">
        <f>IF($O$7=基本!$F$4,基本!$L$11,IF($O$7=基本!$F$13,基本!$L$20,IF($O$7=基本!$F$22,基本!$L$29,IF($O$7=基本!$F$31,基本!$L$38,IF($O$7=基本!$F$40,基本!$L$47,0)))))</f>
        <v>5</v>
      </c>
      <c r="P14" s="219" t="s">
        <v>341</v>
      </c>
      <c r="Q14" s="32">
        <f>IF($O$7=基本!$F$4,基本!$N$11,IF($O$7=基本!$F$13,基本!$N$20,IF($O$7=基本!$F$22,基本!$N$29,IF($O$7=基本!$F$31,基本!$N$38,IF($O$7=基本!$F$40,基本!$N$47,0)))))</f>
        <v>12</v>
      </c>
      <c r="R14" s="229">
        <f>$P$10+$R$11+$O$11+($O$13*$Q$13)</f>
        <v>4</v>
      </c>
    </row>
    <row r="15" spans="1:18" ht="13.5" customHeight="1">
      <c r="A15" s="124"/>
      <c r="B15" s="645" t="s">
        <v>381</v>
      </c>
      <c r="C15" s="646"/>
      <c r="D15" s="646"/>
      <c r="E15" s="646"/>
      <c r="F15" s="646"/>
      <c r="G15" s="647"/>
      <c r="H15" s="112" t="s">
        <v>59</v>
      </c>
      <c r="I15" s="114"/>
      <c r="J15" s="219" t="s">
        <v>342</v>
      </c>
      <c r="K15" s="220" t="s">
        <v>15</v>
      </c>
      <c r="L15" s="218">
        <f>IF(K15="",0,VLOOKUP(K15,基本!$A$5:'基本'!$C$10,3,FALSE))</f>
        <v>3</v>
      </c>
      <c r="N15" s="205" t="s">
        <v>59</v>
      </c>
      <c r="O15" s="207"/>
      <c r="P15" s="219" t="s">
        <v>342</v>
      </c>
      <c r="Q15" s="220" t="s">
        <v>15</v>
      </c>
      <c r="R15" s="218">
        <f>IF(Q15="",0,VLOOKUP(Q15,基本!$A$5:'基本'!$C$10,3,FALSE))</f>
        <v>3</v>
      </c>
    </row>
    <row r="16" spans="1:18" ht="13.5" customHeight="1">
      <c r="A16" s="77"/>
      <c r="B16" s="651"/>
      <c r="C16" s="652"/>
      <c r="D16" s="652"/>
      <c r="E16" s="652"/>
      <c r="F16" s="652"/>
      <c r="G16" s="712"/>
    </row>
    <row r="17" spans="1:12" s="133" customFormat="1" ht="14.25" thickBot="1">
      <c r="A17" s="125" t="s">
        <v>171</v>
      </c>
      <c r="B17" s="153"/>
      <c r="C17" s="153"/>
      <c r="D17" s="153"/>
      <c r="E17" s="153"/>
      <c r="F17" s="153"/>
      <c r="G17" s="153"/>
    </row>
    <row r="18" spans="1:12" s="133" customFormat="1" ht="21.75" thickBot="1">
      <c r="A18" s="161" t="s">
        <v>172</v>
      </c>
      <c r="B18" s="741" t="s">
        <v>497</v>
      </c>
      <c r="C18" s="742"/>
      <c r="D18" s="742"/>
      <c r="E18" s="742"/>
      <c r="F18" s="742"/>
      <c r="G18" s="743"/>
    </row>
    <row r="19" spans="1:12" s="133" customFormat="1" ht="21" customHeight="1">
      <c r="A19" s="744" t="s">
        <v>173</v>
      </c>
      <c r="B19" s="745"/>
      <c r="C19" s="746"/>
      <c r="D19" s="162" t="s">
        <v>174</v>
      </c>
      <c r="E19" s="163" t="s">
        <v>175</v>
      </c>
      <c r="F19" s="163" t="s">
        <v>176</v>
      </c>
      <c r="G19" s="164" t="s">
        <v>177</v>
      </c>
      <c r="H19" s="165" t="s">
        <v>178</v>
      </c>
      <c r="I19" s="166" t="s">
        <v>174</v>
      </c>
      <c r="J19" s="166" t="s">
        <v>175</v>
      </c>
      <c r="K19" s="166" t="s">
        <v>176</v>
      </c>
      <c r="L19" s="166" t="s">
        <v>177</v>
      </c>
    </row>
    <row r="20" spans="1:12" s="133" customFormat="1" ht="30" customHeight="1" thickBot="1">
      <c r="A20" s="747">
        <f>基本!B13+$H$20</f>
        <v>45</v>
      </c>
      <c r="B20" s="748"/>
      <c r="C20" s="749"/>
      <c r="D20" s="167">
        <f>基本!$B$16+$I$20</f>
        <v>32</v>
      </c>
      <c r="E20" s="168">
        <f>基本!$B$17+$J$20</f>
        <v>29</v>
      </c>
      <c r="F20" s="168">
        <f>基本!$B$18+$K$20</f>
        <v>29</v>
      </c>
      <c r="G20" s="169">
        <f>基本!$B$19+$L$20</f>
        <v>36</v>
      </c>
      <c r="H20" s="170">
        <v>0</v>
      </c>
      <c r="I20" s="152">
        <v>2</v>
      </c>
      <c r="J20" s="152">
        <v>0</v>
      </c>
      <c r="K20" s="152">
        <v>0</v>
      </c>
      <c r="L20" s="152">
        <v>0</v>
      </c>
    </row>
    <row r="21" spans="1:12" s="133" customFormat="1" ht="14.25" thickBot="1">
      <c r="A21" s="125" t="s">
        <v>179</v>
      </c>
      <c r="E21" s="89"/>
      <c r="F21" s="88"/>
      <c r="G21" s="88"/>
      <c r="H21" s="88"/>
      <c r="I21" s="88"/>
      <c r="J21" s="88"/>
      <c r="K21" s="88"/>
    </row>
    <row r="22" spans="1:12" s="287" customFormat="1" ht="13.5" customHeight="1">
      <c r="A22" s="728" t="str">
        <f>$B$18</f>
        <v>エンジェリック・プロテクター</v>
      </c>
      <c r="B22" s="729"/>
      <c r="C22" s="730"/>
      <c r="D22" s="662" t="s">
        <v>2</v>
      </c>
      <c r="E22" s="663"/>
      <c r="F22" s="758" t="s">
        <v>553</v>
      </c>
      <c r="G22" s="759"/>
    </row>
    <row r="23" spans="1:12" s="287" customFormat="1" ht="17.25" customHeight="1" thickBot="1">
      <c r="A23" s="731"/>
      <c r="B23" s="732"/>
      <c r="C23" s="733"/>
      <c r="D23" s="312" t="s">
        <v>2</v>
      </c>
      <c r="E23" s="313" t="s">
        <v>1</v>
      </c>
      <c r="F23" s="344" t="s">
        <v>2</v>
      </c>
      <c r="G23" s="314" t="s">
        <v>1</v>
      </c>
    </row>
    <row r="24" spans="1:12" s="287" customFormat="1" ht="20.25" customHeight="1">
      <c r="A24" s="763" t="s">
        <v>554</v>
      </c>
      <c r="B24" s="171" t="s">
        <v>181</v>
      </c>
      <c r="C24" s="345" t="str">
        <f>$K$8</f>
        <v>反応</v>
      </c>
      <c r="D24" s="316" t="str">
        <f>$L$8 &amp; "+1d20"</f>
        <v>22+1d20</v>
      </c>
      <c r="E24" s="317" t="str">
        <f>$L$8+2 &amp; "+1d20"</f>
        <v>24+1d20</v>
      </c>
      <c r="F24" s="346" t="str">
        <f>3+$L$8 &amp; "+1d20"</f>
        <v>25+1d20</v>
      </c>
      <c r="G24" s="347" t="str">
        <f>3+$L$8+2 &amp; "+1d20"</f>
        <v>27+1d20</v>
      </c>
    </row>
    <row r="25" spans="1:12" s="287" customFormat="1" ht="20.25" customHeight="1">
      <c r="A25" s="764"/>
      <c r="B25" s="355" t="s">
        <v>556</v>
      </c>
      <c r="C25" s="233" t="str">
        <f t="shared" ref="C25:C26" si="0">IF($I$15 = 0,"", $I$15)</f>
        <v/>
      </c>
      <c r="D25" s="356" t="str">
        <f>$L$13 &amp; "+" &amp; $I$13 &amp; "d" &amp; $K$13</f>
        <v>11+2d12</v>
      </c>
      <c r="E25" s="357" t="str">
        <f>$L$13 &amp; "+" &amp; $I$13 &amp; "d" &amp; $K$13</f>
        <v>11+2d12</v>
      </c>
      <c r="F25" s="356" t="str">
        <f>$L$13 &amp; "+" &amp; $I$13 &amp; "d" &amp; $K$13</f>
        <v>11+2d12</v>
      </c>
      <c r="G25" s="358" t="str">
        <f>$L$13 &amp; "+" &amp; $I$13 &amp; "d" &amp; $K$13</f>
        <v>11+2d12</v>
      </c>
    </row>
    <row r="26" spans="1:12" s="287" customFormat="1" ht="20.25" customHeight="1">
      <c r="A26" s="764"/>
      <c r="B26" s="359" t="s">
        <v>557</v>
      </c>
      <c r="C26" s="360" t="str">
        <f t="shared" si="0"/>
        <v/>
      </c>
      <c r="D26" s="361" t="str">
        <f>$L$14 &amp; IF($I$14 = 0,"","+" &amp; $I$14 &amp; "d" &amp; $K$14)</f>
        <v>35+5d12</v>
      </c>
      <c r="E26" s="362" t="str">
        <f>$L$14 &amp; IF($I$14 = 0,"","+" &amp; $I$14 &amp; "d" &amp; $K$14)</f>
        <v>35+5d12</v>
      </c>
      <c r="F26" s="361" t="str">
        <f>$L$14 &amp; IF($I$14 = 0,"","+" &amp; $I$14 &amp; "d" &amp; $K$14)</f>
        <v>35+5d12</v>
      </c>
      <c r="G26" s="363" t="str">
        <f>$L$14 &amp; IF($I$14 = 0,"","+" &amp; $I$14 &amp; "d" &amp; $K$14)</f>
        <v>35+5d12</v>
      </c>
    </row>
    <row r="27" spans="1:12" s="287" customFormat="1" ht="20.25" customHeight="1">
      <c r="A27" s="764"/>
      <c r="B27" s="348" t="s">
        <v>561</v>
      </c>
      <c r="C27" s="354" t="s">
        <v>560</v>
      </c>
      <c r="D27" s="349" t="str">
        <f>$L$8 &amp; "+1d20"</f>
        <v>22+1d20</v>
      </c>
      <c r="E27" s="350" t="str">
        <f>$L$8+2 &amp; "+1d20"</f>
        <v>24+1d20</v>
      </c>
      <c r="F27" s="351" t="str">
        <f>3+$L$8 &amp; "+1d20"</f>
        <v>25+1d20</v>
      </c>
      <c r="G27" s="352" t="str">
        <f>3+$L$8+2 &amp; "+1d20"</f>
        <v>27+1d20</v>
      </c>
    </row>
    <row r="28" spans="1:12" s="287" customFormat="1" ht="20.25" customHeight="1" thickBot="1">
      <c r="A28" s="765"/>
      <c r="B28" s="353" t="s">
        <v>9</v>
      </c>
      <c r="C28" s="267" t="str">
        <f t="shared" ref="C28" si="1">IF($I$15 = 0,"", $I$15)</f>
        <v/>
      </c>
      <c r="D28" s="870" t="s">
        <v>582</v>
      </c>
      <c r="E28" s="871"/>
      <c r="F28" s="871"/>
      <c r="G28" s="872"/>
    </row>
    <row r="29" spans="1:12" s="287" customFormat="1" ht="20.25" customHeight="1">
      <c r="A29" s="753" t="s">
        <v>558</v>
      </c>
      <c r="B29" s="171" t="s">
        <v>181</v>
      </c>
      <c r="C29" s="756" t="s">
        <v>562</v>
      </c>
      <c r="D29" s="316" t="str">
        <f>$R$8 &amp; "+1d20"</f>
        <v>0+1d20</v>
      </c>
      <c r="E29" s="317" t="str">
        <f>$R$8+2 &amp; "+1d20"</f>
        <v>2+1d20</v>
      </c>
      <c r="F29" s="346" t="str">
        <f>3+$R$8 &amp; "+1d20"</f>
        <v>3+1d20</v>
      </c>
      <c r="G29" s="347" t="str">
        <f>3+$R$8+2 &amp; "+1d20"</f>
        <v>5+1d20</v>
      </c>
    </row>
    <row r="30" spans="1:12" s="287" customFormat="1" ht="20.25" customHeight="1">
      <c r="A30" s="754"/>
      <c r="B30" s="348" t="s">
        <v>488</v>
      </c>
      <c r="C30" s="757"/>
      <c r="D30" s="349" t="str">
        <f>$R$8+1 &amp; "+1d20"</f>
        <v>1+1d20</v>
      </c>
      <c r="E30" s="350" t="str">
        <f>$R$8+1+2 &amp; "+1d20"</f>
        <v>3+1d20</v>
      </c>
      <c r="F30" s="351" t="str">
        <f>3+$R$8+1 &amp; "+1d20"</f>
        <v>4+1d20</v>
      </c>
      <c r="G30" s="352" t="str">
        <f>3+$R$8+1+2 &amp; "+1d20"</f>
        <v>6+1d20</v>
      </c>
    </row>
    <row r="31" spans="1:12" s="287" customFormat="1" ht="20.25" customHeight="1">
      <c r="A31" s="754"/>
      <c r="B31" s="257" t="s">
        <v>556</v>
      </c>
      <c r="C31" s="267" t="str">
        <f t="shared" ref="C31:C32" si="2">IF($I$15 = 0,"", $I$15)</f>
        <v/>
      </c>
      <c r="D31" s="277" t="str">
        <f>$R$13 &amp; "+" &amp; $O$13 &amp; "d" &amp; $Q$13</f>
        <v>0+1d4</v>
      </c>
      <c r="E31" s="322" t="str">
        <f>$R$13 &amp; "+" &amp; $O$13 &amp; "d" &amp; $Q$13</f>
        <v>0+1d4</v>
      </c>
      <c r="F31" s="277" t="str">
        <f>$R$13 &amp; "+" &amp; $O$13 &amp; "d" &amp; $Q$13</f>
        <v>0+1d4</v>
      </c>
      <c r="G31" s="278" t="str">
        <f>$R$13 &amp; "+" &amp; $O$13 &amp; "d" &amp; $Q$13</f>
        <v>0+1d4</v>
      </c>
    </row>
    <row r="32" spans="1:12" s="287" customFormat="1" ht="20.25" customHeight="1" thickBot="1">
      <c r="A32" s="755"/>
      <c r="B32" s="247" t="s">
        <v>557</v>
      </c>
      <c r="C32" s="258" t="str">
        <f t="shared" si="2"/>
        <v/>
      </c>
      <c r="D32" s="276" t="str">
        <f>$R$14 &amp; IF($O$14 = 0,"","+" &amp; $O$14 &amp; "d" &amp; $Q$14)</f>
        <v>4+5d12</v>
      </c>
      <c r="E32" s="323" t="str">
        <f>$R$14 &amp; IF($O$14 = 0,"","+" &amp; $O$14 &amp; "d" &amp; $Q$14)</f>
        <v>4+5d12</v>
      </c>
      <c r="F32" s="276" t="str">
        <f>$R$14 &amp; IF($O$14 = 0,"","+" &amp; $O$14 &amp; "d" &amp; $Q$14)</f>
        <v>4+5d12</v>
      </c>
      <c r="G32" s="275" t="str">
        <f>$R$14 &amp; IF($O$14 = 0,"","+" &amp; $O$14 &amp; "d" &amp; $Q$14)</f>
        <v>4+5d12</v>
      </c>
    </row>
    <row r="33" spans="1:13" s="133" customFormat="1" ht="8.25" customHeight="1">
      <c r="A33" s="523"/>
      <c r="B33" s="523"/>
      <c r="C33" s="523"/>
      <c r="D33" s="523"/>
      <c r="E33" s="523"/>
      <c r="F33" s="523"/>
      <c r="G33" s="523"/>
    </row>
    <row r="34" spans="1:13" s="133" customFormat="1" ht="14.25">
      <c r="A34" s="517" t="s">
        <v>166</v>
      </c>
      <c r="B34" s="517"/>
      <c r="C34" s="517"/>
      <c r="D34" s="517"/>
      <c r="E34" s="517"/>
      <c r="F34" s="517"/>
      <c r="G34" s="517"/>
    </row>
    <row r="35" spans="1:13" s="133" customFormat="1" ht="13.5" customHeight="1">
      <c r="A35" s="529" t="s">
        <v>164</v>
      </c>
      <c r="B35" s="529"/>
      <c r="C35" s="529"/>
      <c r="D35" s="529"/>
      <c r="E35" s="529"/>
      <c r="F35" s="529"/>
      <c r="G35" s="529"/>
      <c r="H35" s="88"/>
    </row>
    <row r="36" spans="1:13" s="133" customFormat="1" ht="13.5" customHeight="1">
      <c r="A36" s="529" t="s">
        <v>165</v>
      </c>
      <c r="B36" s="529"/>
      <c r="C36" s="529"/>
      <c r="D36" s="529"/>
      <c r="E36" s="529"/>
      <c r="F36" s="529"/>
      <c r="G36" s="529"/>
      <c r="H36" s="88"/>
    </row>
    <row r="37" spans="1:13" s="133" customFormat="1" ht="14.25">
      <c r="A37" s="517" t="s">
        <v>493</v>
      </c>
      <c r="B37" s="517"/>
      <c r="C37" s="517"/>
      <c r="D37" s="517"/>
      <c r="E37" s="517"/>
      <c r="F37" s="517"/>
      <c r="G37" s="517"/>
      <c r="H37" s="88"/>
    </row>
    <row r="38" spans="1:13" s="133" customFormat="1" ht="13.5" customHeight="1">
      <c r="A38" s="529" t="s">
        <v>159</v>
      </c>
      <c r="B38" s="529"/>
      <c r="C38" s="529"/>
      <c r="D38" s="529"/>
      <c r="E38" s="529"/>
      <c r="F38" s="529"/>
      <c r="G38" s="529"/>
      <c r="H38" s="88"/>
      <c r="I38" s="88"/>
      <c r="J38" s="88"/>
      <c r="K38" s="88"/>
    </row>
    <row r="39" spans="1:13" s="133" customFormat="1" ht="13.5" customHeight="1">
      <c r="A39" s="525" t="s">
        <v>160</v>
      </c>
      <c r="B39" s="525"/>
      <c r="C39" s="525"/>
      <c r="D39" s="525"/>
      <c r="E39" s="525"/>
      <c r="F39" s="525"/>
      <c r="G39" s="525"/>
      <c r="H39" s="88"/>
      <c r="I39" s="88"/>
      <c r="J39" s="88"/>
      <c r="K39" s="88"/>
    </row>
    <row r="40" spans="1:13" s="133" customFormat="1" ht="8.25" customHeight="1">
      <c r="A40" s="604"/>
      <c r="B40" s="604"/>
      <c r="C40" s="604"/>
      <c r="D40" s="604"/>
      <c r="E40" s="604"/>
      <c r="F40" s="604"/>
      <c r="G40" s="604"/>
      <c r="H40" s="88"/>
      <c r="I40" s="88"/>
      <c r="J40" s="88"/>
      <c r="K40" s="88"/>
    </row>
    <row r="41" spans="1:13" ht="13.5" customHeight="1">
      <c r="A41" s="619" t="s">
        <v>48</v>
      </c>
      <c r="B41" s="620"/>
      <c r="C41" s="620"/>
      <c r="D41" s="620"/>
      <c r="E41" s="620"/>
      <c r="F41" s="620"/>
      <c r="G41" s="621"/>
    </row>
    <row r="42" spans="1:13" s="111" customFormat="1" ht="13.5" customHeight="1">
      <c r="A42" s="645"/>
      <c r="B42" s="646"/>
      <c r="C42" s="646"/>
      <c r="D42" s="646"/>
      <c r="E42" s="646"/>
      <c r="F42" s="646"/>
      <c r="G42" s="647"/>
      <c r="H42" s="110"/>
      <c r="I42" s="110"/>
      <c r="J42" s="110"/>
      <c r="K42" s="110"/>
    </row>
    <row r="43" spans="1:13" s="111" customFormat="1" ht="13.5" customHeight="1">
      <c r="A43" s="645" t="s">
        <v>382</v>
      </c>
      <c r="B43" s="646"/>
      <c r="C43" s="646"/>
      <c r="D43" s="646"/>
      <c r="E43" s="646"/>
      <c r="F43" s="646"/>
      <c r="G43" s="647"/>
      <c r="H43" s="110"/>
      <c r="I43" s="110"/>
      <c r="J43" s="110"/>
      <c r="K43" s="110"/>
    </row>
    <row r="44" spans="1:13" s="111" customFormat="1" ht="13.5" customHeight="1">
      <c r="A44" s="645" t="s">
        <v>383</v>
      </c>
      <c r="B44" s="646"/>
      <c r="C44" s="646"/>
      <c r="D44" s="646"/>
      <c r="E44" s="646"/>
      <c r="F44" s="646"/>
      <c r="G44" s="647"/>
      <c r="H44" s="110"/>
      <c r="I44" s="110"/>
      <c r="J44" s="110"/>
      <c r="K44" s="110"/>
    </row>
    <row r="45" spans="1:13" s="111" customFormat="1" ht="13.5" customHeight="1">
      <c r="A45" s="645" t="s">
        <v>384</v>
      </c>
      <c r="B45" s="646"/>
      <c r="C45" s="646"/>
      <c r="D45" s="646"/>
      <c r="E45" s="646"/>
      <c r="F45" s="646"/>
      <c r="G45" s="647"/>
      <c r="H45" s="110"/>
      <c r="I45" s="110"/>
      <c r="J45" s="110"/>
      <c r="K45" s="110"/>
    </row>
    <row r="46" spans="1:13" s="111" customFormat="1" ht="13.5" customHeight="1">
      <c r="A46" s="645"/>
      <c r="B46" s="646"/>
      <c r="C46" s="646"/>
      <c r="D46" s="646"/>
      <c r="E46" s="646"/>
      <c r="F46" s="646"/>
      <c r="G46" s="647"/>
      <c r="H46" s="110"/>
      <c r="I46" s="110"/>
      <c r="J46" s="110"/>
      <c r="K46" s="110"/>
    </row>
    <row r="47" spans="1:13" s="110" customFormat="1" ht="13.5" customHeight="1">
      <c r="A47" s="651"/>
      <c r="B47" s="652"/>
      <c r="C47" s="652"/>
      <c r="D47" s="652"/>
      <c r="E47" s="652"/>
      <c r="F47" s="652"/>
      <c r="G47" s="712"/>
      <c r="L47" s="111"/>
      <c r="M47" s="111"/>
    </row>
    <row r="48" spans="1:13" s="88" customFormat="1" ht="21">
      <c r="A48" s="119" t="s">
        <v>119</v>
      </c>
      <c r="B48" s="120">
        <f>$B$1</f>
        <v>1</v>
      </c>
      <c r="C48" s="121" t="s">
        <v>39</v>
      </c>
      <c r="D48" s="122" t="str">
        <f>$E$1</f>
        <v>一日毎</v>
      </c>
      <c r="E48" s="725" t="str">
        <f>$B$2</f>
        <v>エンジェリック・プロテクター</v>
      </c>
      <c r="F48" s="726"/>
      <c r="G48" s="727"/>
      <c r="L48" s="115"/>
      <c r="M48" s="133"/>
    </row>
  </sheetData>
  <mergeCells count="48">
    <mergeCell ref="D28:G28"/>
    <mergeCell ref="A29:A32"/>
    <mergeCell ref="C29:C30"/>
    <mergeCell ref="A24:A28"/>
    <mergeCell ref="N4:R4"/>
    <mergeCell ref="B8:G8"/>
    <mergeCell ref="B9:G9"/>
    <mergeCell ref="B10:G10"/>
    <mergeCell ref="B11:G11"/>
    <mergeCell ref="J9:K9"/>
    <mergeCell ref="B6:D6"/>
    <mergeCell ref="B7:D7"/>
    <mergeCell ref="H4:L4"/>
    <mergeCell ref="P9:Q9"/>
    <mergeCell ref="P11:Q11"/>
    <mergeCell ref="J11:K11"/>
    <mergeCell ref="B1:C1"/>
    <mergeCell ref="F1:G1"/>
    <mergeCell ref="B2:G2"/>
    <mergeCell ref="B4:G4"/>
    <mergeCell ref="B5:G5"/>
    <mergeCell ref="B18:G18"/>
    <mergeCell ref="B16:G16"/>
    <mergeCell ref="B12:G12"/>
    <mergeCell ref="B13:G13"/>
    <mergeCell ref="B14:G14"/>
    <mergeCell ref="B15:G15"/>
    <mergeCell ref="A19:C19"/>
    <mergeCell ref="A20:C20"/>
    <mergeCell ref="A22:C23"/>
    <mergeCell ref="D22:E22"/>
    <mergeCell ref="F22:G22"/>
    <mergeCell ref="A41:G41"/>
    <mergeCell ref="A42:G42"/>
    <mergeCell ref="A34:G34"/>
    <mergeCell ref="A38:G38"/>
    <mergeCell ref="A33:G33"/>
    <mergeCell ref="A40:G40"/>
    <mergeCell ref="A35:G35"/>
    <mergeCell ref="A36:G36"/>
    <mergeCell ref="A37:G37"/>
    <mergeCell ref="A39:G39"/>
    <mergeCell ref="E48:G48"/>
    <mergeCell ref="A46:G46"/>
    <mergeCell ref="A47:G47"/>
    <mergeCell ref="A43:G43"/>
    <mergeCell ref="A44:G44"/>
    <mergeCell ref="A45:G45"/>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基本!$C$27:$C$37</xm:f>
          </x14:formula1>
          <xm:sqref>I15</xm:sqref>
        </x14:dataValidation>
        <x14:dataValidation type="list" allowBlank="1" showInputMessage="1" showErrorMessage="1">
          <x14:formula1>
            <xm:f>基本!$B$27:$B$31</xm:f>
          </x14:formula1>
          <xm:sqref>I6</xm:sqref>
        </x14:dataValidation>
        <x14:dataValidation type="list" allowBlank="1" showInputMessage="1" showErrorMessage="1">
          <x14:formula1>
            <xm:f>基本!$A$27:$A$33</xm:f>
          </x14:formula1>
          <xm:sqref>I5</xm:sqref>
        </x14:dataValidation>
        <x14:dataValidation type="list" allowBlank="1" showInputMessage="1" showErrorMessage="1">
          <x14:formula1>
            <xm:f>基本!$A$16:$A$19</xm:f>
          </x14:formula1>
          <xm:sqref>K8</xm:sqref>
        </x14:dataValidation>
        <x14:dataValidation type="list" allowBlank="1" showInputMessage="1" showErrorMessage="1">
          <x14:formula1>
            <xm:f>基本!$A$5:$A$10</xm:f>
          </x14:formula1>
          <xm:sqref>I8 I10 Q15 K15</xm:sqref>
        </x14:dataValidation>
        <x14:dataValidation type="list" allowBlank="1" showInputMessage="1" showErrorMessage="1">
          <x14:formula1>
            <xm:f>基本!$D$27:$D$31</xm:f>
          </x14:formula1>
          <xm:sqref>I7</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N56"/>
  <sheetViews>
    <sheetView zoomScaleNormal="100" workbookViewId="0">
      <selection activeCell="A33" sqref="A33:G33"/>
    </sheetView>
  </sheetViews>
  <sheetFormatPr defaultRowHeight="13.5"/>
  <cols>
    <col min="1" max="1" width="7.875" style="133" customWidth="1"/>
    <col min="2" max="2" width="8.5" style="133" customWidth="1"/>
    <col min="3" max="3" width="6.625" style="133" customWidth="1"/>
    <col min="4" max="4" width="15.75" style="133" customWidth="1"/>
    <col min="5" max="6" width="15.75" style="88" customWidth="1"/>
    <col min="7" max="7" width="18.25" style="88" customWidth="1"/>
    <col min="8" max="8" width="17.375" style="88" customWidth="1"/>
    <col min="9" max="9" width="14.625" style="88" customWidth="1"/>
    <col min="10" max="10" width="8.375" style="88" customWidth="1"/>
    <col min="11" max="11" width="7.5" style="88" customWidth="1"/>
    <col min="12" max="13" width="7.875" style="133" customWidth="1"/>
    <col min="14" max="14" width="9.25" style="133" customWidth="1"/>
    <col min="15" max="15" width="12.375" style="133" customWidth="1"/>
    <col min="16" max="16384" width="9" style="133"/>
  </cols>
  <sheetData>
    <row r="1" spans="1:14" ht="21">
      <c r="A1" s="39" t="s">
        <v>114</v>
      </c>
      <c r="B1" s="676">
        <v>3</v>
      </c>
      <c r="C1" s="677"/>
      <c r="D1" s="40" t="s">
        <v>39</v>
      </c>
      <c r="E1" s="41" t="s">
        <v>111</v>
      </c>
      <c r="F1" s="678"/>
      <c r="G1" s="679"/>
      <c r="H1" s="93" t="s">
        <v>54</v>
      </c>
    </row>
    <row r="2" spans="1:14" ht="24.75" customHeight="1">
      <c r="A2" s="40" t="s">
        <v>0</v>
      </c>
      <c r="B2" s="680" t="s">
        <v>352</v>
      </c>
      <c r="C2" s="680"/>
      <c r="D2" s="680"/>
      <c r="E2" s="680"/>
      <c r="F2" s="680"/>
      <c r="G2" s="680"/>
      <c r="H2" s="93" t="s">
        <v>55</v>
      </c>
    </row>
    <row r="3" spans="1:14" ht="19.5" customHeight="1">
      <c r="A3" s="99" t="s">
        <v>47</v>
      </c>
      <c r="B3" s="88"/>
      <c r="C3" s="88"/>
      <c r="D3" s="88"/>
      <c r="I3" s="93"/>
    </row>
    <row r="4" spans="1:14">
      <c r="A4" s="72" t="s">
        <v>45</v>
      </c>
      <c r="B4" s="628" t="s">
        <v>353</v>
      </c>
      <c r="C4" s="629"/>
      <c r="D4" s="629"/>
      <c r="E4" s="629"/>
      <c r="F4" s="629"/>
      <c r="G4" s="630"/>
      <c r="H4" s="539" t="s">
        <v>339</v>
      </c>
      <c r="I4" s="540"/>
      <c r="J4" s="540"/>
      <c r="K4" s="540"/>
      <c r="L4" s="541"/>
    </row>
    <row r="5" spans="1:14">
      <c r="A5" s="73" t="s">
        <v>38</v>
      </c>
      <c r="B5" s="628" t="s">
        <v>354</v>
      </c>
      <c r="C5" s="629"/>
      <c r="D5" s="629"/>
      <c r="E5" s="629"/>
      <c r="F5" s="629"/>
      <c r="G5" s="630"/>
      <c r="H5" s="141" t="s">
        <v>42</v>
      </c>
      <c r="I5" s="143" t="s">
        <v>82</v>
      </c>
      <c r="J5" s="143">
        <v>10</v>
      </c>
    </row>
    <row r="6" spans="1:14">
      <c r="A6" s="73" t="s">
        <v>7</v>
      </c>
      <c r="B6" s="628" t="s">
        <v>5</v>
      </c>
      <c r="C6" s="629"/>
      <c r="D6" s="630"/>
      <c r="E6" s="141" t="s">
        <v>42</v>
      </c>
      <c r="F6" s="142" t="str">
        <f>$I$5</f>
        <v>遠隔範囲</v>
      </c>
      <c r="G6" s="142">
        <f>IF($J$5 = 0,"", $J$5)</f>
        <v>10</v>
      </c>
      <c r="H6" s="141" t="s">
        <v>65</v>
      </c>
      <c r="I6" s="143" t="s">
        <v>66</v>
      </c>
      <c r="J6" s="295" t="s">
        <v>485</v>
      </c>
    </row>
    <row r="7" spans="1:14">
      <c r="A7" s="74" t="s">
        <v>6</v>
      </c>
      <c r="B7" s="628" t="s">
        <v>287</v>
      </c>
      <c r="C7" s="629"/>
      <c r="D7" s="630"/>
      <c r="E7" s="141" t="s">
        <v>65</v>
      </c>
      <c r="F7" s="272" t="str">
        <f>IF($I$6 = 0,"", $I$6)</f>
        <v>爆発</v>
      </c>
      <c r="G7" s="272" t="str">
        <f>IF($J$6 = 0,"", $J$6)</f>
        <v>1 ( or 2 )</v>
      </c>
      <c r="H7" s="141" t="s">
        <v>84</v>
      </c>
      <c r="I7" s="143" t="s">
        <v>112</v>
      </c>
      <c r="J7" s="93" t="s">
        <v>61</v>
      </c>
      <c r="L7" s="230" t="s">
        <v>343</v>
      </c>
    </row>
    <row r="8" spans="1:14">
      <c r="A8" s="74" t="s">
        <v>8</v>
      </c>
      <c r="B8" s="628" t="s">
        <v>355</v>
      </c>
      <c r="C8" s="629"/>
      <c r="D8" s="629"/>
      <c r="E8" s="629"/>
      <c r="F8" s="629"/>
      <c r="G8" s="630"/>
      <c r="H8" s="141" t="s">
        <v>50</v>
      </c>
      <c r="I8" s="143" t="s">
        <v>139</v>
      </c>
      <c r="J8" s="142">
        <f>IF($I$8 = "筋力",基本!$C$5,IF($I$8 = "耐久力",基本!$C$6,IF($I$8 = "敏捷力",基本!$C$7,IF($I$8 = "知力",基本!$C$8,IF($I$8 = "判断力",基本!$C$9,IF($I$8 = "判断力",基本!$C$10,""))))))</f>
        <v>7</v>
      </c>
      <c r="K8" s="143" t="s">
        <v>19</v>
      </c>
      <c r="L8" s="229">
        <f>$J$8+$L$9+$I$9</f>
        <v>7</v>
      </c>
    </row>
    <row r="9" spans="1:14" ht="14.25" customHeight="1">
      <c r="A9" s="76" t="s">
        <v>9</v>
      </c>
      <c r="B9" s="642" t="s">
        <v>356</v>
      </c>
      <c r="C9" s="643"/>
      <c r="D9" s="643"/>
      <c r="E9" s="643"/>
      <c r="F9" s="643"/>
      <c r="G9" s="644"/>
      <c r="H9" s="141" t="s">
        <v>57</v>
      </c>
      <c r="I9" s="143">
        <v>0</v>
      </c>
      <c r="J9" s="539" t="s">
        <v>52</v>
      </c>
      <c r="K9" s="541"/>
      <c r="L9" s="142">
        <f>IF($I$7=基本!$F$4,基本!$P$7,IF($I$7=基本!$F$13,基本!$P$16,IF($I$7=基本!$F$22,基本!$P$25,IF($I$7=基本!$F$31,基本!$P$34,IF($I$7=基本!$F$40,基本!$P$43,0)))))</f>
        <v>0</v>
      </c>
    </row>
    <row r="10" spans="1:14" ht="14.25" customHeight="1">
      <c r="A10" s="76"/>
      <c r="B10" s="645" t="s">
        <v>163</v>
      </c>
      <c r="C10" s="646"/>
      <c r="D10" s="646"/>
      <c r="E10" s="646"/>
      <c r="F10" s="646"/>
      <c r="G10" s="647"/>
      <c r="H10" s="140" t="s">
        <v>51</v>
      </c>
      <c r="I10" s="143" t="s">
        <v>139</v>
      </c>
      <c r="J10" s="97">
        <f>IF($I$10 = "筋力",基本!$C$5,IF($I$10 = "耐久力",基本!$C$6,IF($I$10 = "敏捷力",基本!$C$7,IF($I$10 = "知力",基本!$C$8,IF($I$10 = "判断力",基本!$C$9,IF($I$10 = "判断力",基本!$C$10,""))))))</f>
        <v>7</v>
      </c>
      <c r="L10" s="88"/>
    </row>
    <row r="11" spans="1:14" ht="14.25" customHeight="1">
      <c r="A11" s="76"/>
      <c r="B11" s="645" t="s">
        <v>357</v>
      </c>
      <c r="C11" s="646"/>
      <c r="D11" s="646"/>
      <c r="E11" s="646"/>
      <c r="F11" s="646"/>
      <c r="G11" s="647"/>
      <c r="H11" s="141" t="s">
        <v>58</v>
      </c>
      <c r="I11" s="143">
        <v>0</v>
      </c>
      <c r="J11" s="539" t="s">
        <v>53</v>
      </c>
      <c r="K11" s="541"/>
      <c r="L11" s="142">
        <f>IF($I$7=基本!$F$4,基本!$P$9,IF($I$7=基本!$F$13,基本!$P$18,IF($I$7=基本!$F$22,基本!$P$27,IF($I$7=基本!$F$31,基本!$P$36,IF($I$7=基本!$F$40,基本!$P$45,0)))))</f>
        <v>0</v>
      </c>
    </row>
    <row r="12" spans="1:14" ht="4.5" customHeight="1">
      <c r="A12" s="76"/>
      <c r="B12" s="645"/>
      <c r="C12" s="646"/>
      <c r="D12" s="646"/>
      <c r="E12" s="646"/>
      <c r="F12" s="646"/>
      <c r="G12" s="647"/>
      <c r="J12" s="133"/>
      <c r="K12" s="133"/>
      <c r="L12" s="230" t="s">
        <v>343</v>
      </c>
    </row>
    <row r="13" spans="1:14" ht="14.25" customHeight="1">
      <c r="A13" s="76"/>
      <c r="B13" s="601" t="s">
        <v>358</v>
      </c>
      <c r="C13" s="523"/>
      <c r="D13" s="523"/>
      <c r="E13" s="523"/>
      <c r="F13" s="523"/>
      <c r="G13" s="602"/>
      <c r="H13" s="219" t="s">
        <v>85</v>
      </c>
      <c r="I13" s="143">
        <v>2</v>
      </c>
      <c r="J13" s="141" t="s">
        <v>43</v>
      </c>
      <c r="K13" s="143">
        <v>10</v>
      </c>
      <c r="L13" s="229">
        <f>$J$10+$L$11+$I$11</f>
        <v>7</v>
      </c>
      <c r="N13" s="100"/>
    </row>
    <row r="14" spans="1:14" ht="3" customHeight="1">
      <c r="A14" s="101"/>
      <c r="B14" s="698"/>
      <c r="C14" s="699"/>
      <c r="D14" s="699"/>
      <c r="E14" s="699"/>
      <c r="F14" s="699"/>
      <c r="G14" s="700"/>
      <c r="H14" s="141" t="s">
        <v>49</v>
      </c>
      <c r="I14" s="32">
        <f>IF($I$7=基本!$F$4,基本!$L$11,IF($I$7=基本!$F$13,基本!$L$20,IF($I$7=基本!$F$22,基本!$L$29,IF($I$7=基本!$F$31,基本!$L$38,IF($I$7=基本!$F$40,基本!$L$47,0)))))</f>
        <v>5</v>
      </c>
      <c r="J14" s="219" t="s">
        <v>341</v>
      </c>
      <c r="K14" s="32">
        <f>IF($I$7=基本!$F$4,基本!$N$11,IF($I$7=基本!$F$13,基本!$N$20,IF($I$7=基本!$F$22,基本!$N$29,IF($I$7=基本!$F$31,基本!$N$38,IF($I$7=基本!$F$40,基本!$N$47,0)))))</f>
        <v>12</v>
      </c>
      <c r="L14" s="229">
        <f>$J$10+$L$11+$I$11+($I$13*$K$13)</f>
        <v>27</v>
      </c>
      <c r="N14" s="100"/>
    </row>
    <row r="15" spans="1:14" ht="14.25" customHeight="1">
      <c r="A15" s="76"/>
      <c r="B15" s="608" t="s">
        <v>359</v>
      </c>
      <c r="C15" s="609"/>
      <c r="D15" s="609"/>
      <c r="E15" s="609"/>
      <c r="F15" s="609"/>
      <c r="G15" s="610"/>
      <c r="H15" s="141" t="s">
        <v>59</v>
      </c>
      <c r="I15" s="143" t="s">
        <v>67</v>
      </c>
      <c r="J15" s="219" t="s">
        <v>342</v>
      </c>
      <c r="K15" s="220" t="s">
        <v>15</v>
      </c>
      <c r="L15" s="218">
        <f>IF(K15="",0,VLOOKUP(K15,基本!$A$5:'基本'!$C$10,3,FALSE))</f>
        <v>3</v>
      </c>
    </row>
    <row r="16" spans="1:14" ht="8.25" customHeight="1">
      <c r="A16" s="77"/>
      <c r="B16" s="603"/>
      <c r="C16" s="604"/>
      <c r="D16" s="604"/>
      <c r="E16" s="604"/>
      <c r="F16" s="604"/>
      <c r="G16" s="605"/>
      <c r="H16" s="133"/>
      <c r="I16" s="133"/>
      <c r="J16" s="133"/>
      <c r="K16" s="133"/>
    </row>
    <row r="17" spans="1:11" ht="14.25" thickBot="1">
      <c r="A17" s="125" t="s">
        <v>46</v>
      </c>
      <c r="E17" s="89"/>
      <c r="H17" s="133"/>
      <c r="I17" s="133"/>
      <c r="J17" s="133"/>
      <c r="K17" s="133"/>
    </row>
    <row r="18" spans="1:11" s="287" customFormat="1" ht="15" customHeight="1">
      <c r="A18" s="701" t="str">
        <f>$B$2</f>
        <v>ファイアーズ・オヴ・ジャッジメント</v>
      </c>
      <c r="B18" s="702"/>
      <c r="C18" s="703"/>
      <c r="D18" s="662" t="s">
        <v>2</v>
      </c>
      <c r="E18" s="663"/>
      <c r="F18" s="664" t="s">
        <v>479</v>
      </c>
      <c r="G18" s="665"/>
    </row>
    <row r="19" spans="1:11" s="287" customFormat="1" ht="18.75" customHeight="1" thickBot="1">
      <c r="A19" s="704"/>
      <c r="B19" s="705"/>
      <c r="C19" s="706"/>
      <c r="D19" s="312" t="s">
        <v>2</v>
      </c>
      <c r="E19" s="313" t="s">
        <v>1</v>
      </c>
      <c r="F19" s="312" t="s">
        <v>2</v>
      </c>
      <c r="G19" s="314" t="s">
        <v>1</v>
      </c>
    </row>
    <row r="20" spans="1:11" s="287" customFormat="1" ht="24" customHeight="1">
      <c r="A20" s="611" t="s">
        <v>41</v>
      </c>
      <c r="B20" s="315" t="s">
        <v>113</v>
      </c>
      <c r="C20" s="666" t="str">
        <f>$K$8</f>
        <v>頑健</v>
      </c>
      <c r="D20" s="316" t="str">
        <f>$L$8 &amp; "+1d20"</f>
        <v>7+1d20</v>
      </c>
      <c r="E20" s="317" t="str">
        <f>$L$8+2 &amp; "+1d20"</f>
        <v>9+1d20</v>
      </c>
      <c r="F20" s="316" t="str">
        <f>$L$8 &amp; "+1d20"</f>
        <v>7+1d20</v>
      </c>
      <c r="G20" s="318" t="str">
        <f>$L$8+2 &amp; "+1d20"</f>
        <v>9+1d20</v>
      </c>
    </row>
    <row r="21" spans="1:11" s="287" customFormat="1" ht="24" customHeight="1">
      <c r="A21" s="612"/>
      <c r="B21" s="332" t="s">
        <v>483</v>
      </c>
      <c r="C21" s="667"/>
      <c r="D21" s="325" t="str">
        <f>2+$L$8 &amp; "+1d20"</f>
        <v>9+1d20</v>
      </c>
      <c r="E21" s="326" t="str">
        <f>2+$L$8+2 &amp; "+1d20"</f>
        <v>11+1d20</v>
      </c>
      <c r="F21" s="325" t="str">
        <f>2+$L$8 &amp; "+1d20"</f>
        <v>9+1d20</v>
      </c>
      <c r="G21" s="327" t="str">
        <f>2+$L$8+2 &amp; "+1d20"</f>
        <v>11+1d20</v>
      </c>
    </row>
    <row r="22" spans="1:11" s="287" customFormat="1" ht="24" customHeight="1">
      <c r="A22" s="612"/>
      <c r="B22" s="328" t="s">
        <v>476</v>
      </c>
      <c r="C22" s="667"/>
      <c r="D22" s="329" t="str">
        <f>3+$L$8 &amp; "+1d20"</f>
        <v>10+1d20</v>
      </c>
      <c r="E22" s="330" t="str">
        <f>3+$L$8+2 &amp; "+1d20"</f>
        <v>12+1d20</v>
      </c>
      <c r="F22" s="329" t="str">
        <f>3+$L$8 &amp; "+1d20"</f>
        <v>10+1d20</v>
      </c>
      <c r="G22" s="331" t="str">
        <f>3+$L$8+2 &amp; "+1d20"</f>
        <v>12+1d20</v>
      </c>
    </row>
    <row r="23" spans="1:11" s="287" customFormat="1" ht="24" customHeight="1" thickBot="1">
      <c r="A23" s="613"/>
      <c r="B23" s="324" t="s">
        <v>482</v>
      </c>
      <c r="C23" s="668"/>
      <c r="D23" s="319" t="str">
        <f>2+3+$L$8 &amp; "+1d20"</f>
        <v>12+1d20</v>
      </c>
      <c r="E23" s="320" t="str">
        <f>2+3+$L$8+2 &amp; "+1d20"</f>
        <v>14+1d20</v>
      </c>
      <c r="F23" s="319" t="str">
        <f>2+3+$L$8 &amp; "+1d20"</f>
        <v>12+1d20</v>
      </c>
      <c r="G23" s="321" t="str">
        <f>2+3+$L$8+2 &amp; "+1d20"</f>
        <v>14+1d20</v>
      </c>
    </row>
    <row r="24" spans="1:11" s="287" customFormat="1" ht="23.25" customHeight="1">
      <c r="A24" s="818" t="s">
        <v>113</v>
      </c>
      <c r="B24" s="257" t="s">
        <v>4</v>
      </c>
      <c r="C24" s="267" t="str">
        <f>IF($I$15 = 0,"", $I$15)</f>
        <v>火</v>
      </c>
      <c r="D24" s="277" t="str">
        <f>$L$13 &amp; "+" &amp; $I$13 &amp; "d" &amp; $K$13</f>
        <v>7+2d10</v>
      </c>
      <c r="E24" s="322" t="str">
        <f>$L$13 &amp; "+" &amp; $I$13 &amp; "d" &amp; $K$13</f>
        <v>7+2d10</v>
      </c>
      <c r="F24" s="277" t="str">
        <f>3+$L$13 &amp; "+" &amp; $I$13 &amp; "d" &amp; $K$13</f>
        <v>10+2d10</v>
      </c>
      <c r="G24" s="278" t="str">
        <f>3+$L$13 &amp; "+" &amp; $I$13 &amp; "d" &amp; $K$13</f>
        <v>10+2d10</v>
      </c>
    </row>
    <row r="25" spans="1:11" s="287" customFormat="1" ht="23.25" customHeight="1" thickBot="1">
      <c r="A25" s="819"/>
      <c r="B25" s="247" t="s">
        <v>3</v>
      </c>
      <c r="C25" s="258" t="str">
        <f>IF($I$15 = 0,"", $I$15)</f>
        <v>火</v>
      </c>
      <c r="D25" s="276" t="str">
        <f>$L$14 &amp; IF($I$14 = 0,"","+" &amp; $I$14 &amp; "d" &amp; $K$14)</f>
        <v>27+5d12</v>
      </c>
      <c r="E25" s="323" t="str">
        <f>$L$14 &amp; IF($I$14 = 0,"","+" &amp; $I$14 &amp; "d" &amp; $K$14)</f>
        <v>27+5d12</v>
      </c>
      <c r="F25" s="276" t="str">
        <f>3+$L$14 &amp; IF($I$14 = 0,"","+" &amp; $I$14 &amp; "d" &amp; $K$14)</f>
        <v>30+5d12</v>
      </c>
      <c r="G25" s="275" t="str">
        <f>3+$L$14 &amp; IF($I$14 = 0,"","+" &amp; $I$14 &amp; "d" &amp; $K$14)</f>
        <v>30+5d12</v>
      </c>
    </row>
    <row r="26" spans="1:11" s="287" customFormat="1" ht="23.25" customHeight="1">
      <c r="A26" s="873" t="s">
        <v>370</v>
      </c>
      <c r="B26" s="257" t="s">
        <v>4</v>
      </c>
      <c r="C26" s="267" t="str">
        <f>IF($I$15 = 0,"", $I$15)</f>
        <v>火</v>
      </c>
      <c r="D26" s="277" t="str">
        <f>$L$13 &amp; "+" &amp; $I$13 &amp; "d" &amp; 12</f>
        <v>7+2d12</v>
      </c>
      <c r="E26" s="322" t="str">
        <f>$J$10+$L$11+$I$11 &amp; "+" &amp; $I$13 &amp; "d" &amp; 12</f>
        <v>7+2d12</v>
      </c>
      <c r="F26" s="277" t="str">
        <f>$J$10+$L$11+$I$11+3 &amp; "+" &amp; $I$13 &amp; "d" &amp; 12</f>
        <v>10+2d12</v>
      </c>
      <c r="G26" s="278" t="str">
        <f>$J$10+$L$11+$I$11+3 &amp; "+" &amp; $I$13 &amp; "d" &amp; 12</f>
        <v>10+2d12</v>
      </c>
    </row>
    <row r="27" spans="1:11" s="287" customFormat="1" ht="23.25" customHeight="1" thickBot="1">
      <c r="A27" s="874"/>
      <c r="B27" s="247" t="s">
        <v>3</v>
      </c>
      <c r="C27" s="258" t="str">
        <f>IF($I$15 = 0,"", $I$15)</f>
        <v>火</v>
      </c>
      <c r="D27" s="276" t="str">
        <f>$J$10+$L$11+$I$11+($I$13*12) &amp; IF($I$14 = 0,"","+" &amp; $I$14 &amp; "d" &amp; $K$14)</f>
        <v>31+5d12</v>
      </c>
      <c r="E27" s="323" t="str">
        <f>$J$10+$L$11+$I$11+($I$13*12) &amp; IF($I$14 = 0,"","+" &amp; $I$14 &amp; "d" &amp; $K$14)</f>
        <v>31+5d12</v>
      </c>
      <c r="F27" s="276" t="str">
        <f>$J$10+$L$11+$I$11+($I$13*12)+3 &amp; IF($I$14 = 0,"","+" &amp; $I$14 &amp; "d" &amp; $K$14)</f>
        <v>34+5d12</v>
      </c>
      <c r="G27" s="275" t="str">
        <f>$J$10+$L$11+$I$11+($I$13*12)+3 &amp; IF($I$14 = 0,"","+" &amp; $I$14 &amp; "d" &amp; $K$14)</f>
        <v>34+5d12</v>
      </c>
    </row>
    <row r="28" spans="1:11" ht="8.25" customHeight="1">
      <c r="A28" s="523"/>
      <c r="B28" s="523"/>
      <c r="C28" s="523"/>
      <c r="D28" s="523"/>
      <c r="E28" s="523"/>
      <c r="F28" s="523"/>
      <c r="G28" s="523"/>
    </row>
    <row r="29" spans="1:11" ht="14.25">
      <c r="A29" s="517" t="s">
        <v>493</v>
      </c>
      <c r="B29" s="517"/>
      <c r="C29" s="517"/>
      <c r="D29" s="517"/>
      <c r="E29" s="517"/>
      <c r="F29" s="517"/>
      <c r="G29" s="517"/>
    </row>
    <row r="30" spans="1:11" ht="13.5" customHeight="1">
      <c r="A30" s="529" t="s">
        <v>159</v>
      </c>
      <c r="B30" s="529"/>
      <c r="C30" s="529"/>
      <c r="D30" s="529"/>
      <c r="E30" s="529"/>
      <c r="F30" s="529"/>
      <c r="G30" s="529"/>
    </row>
    <row r="31" spans="1:11" ht="13.5" customHeight="1">
      <c r="A31" s="525" t="s">
        <v>160</v>
      </c>
      <c r="B31" s="525"/>
      <c r="C31" s="525"/>
      <c r="D31" s="525"/>
      <c r="E31" s="525"/>
      <c r="F31" s="525"/>
      <c r="G31" s="525"/>
    </row>
    <row r="32" spans="1:11" ht="14.25">
      <c r="A32" s="517" t="s">
        <v>149</v>
      </c>
      <c r="B32" s="517"/>
      <c r="C32" s="517"/>
      <c r="D32" s="517"/>
      <c r="E32" s="517"/>
      <c r="F32" s="517"/>
      <c r="G32" s="517"/>
      <c r="I32" s="133"/>
      <c r="J32" s="133"/>
      <c r="K32" s="133"/>
    </row>
    <row r="33" spans="1:13" ht="14.25">
      <c r="A33" s="517" t="s">
        <v>147</v>
      </c>
      <c r="B33" s="517"/>
      <c r="C33" s="517"/>
      <c r="D33" s="517"/>
      <c r="E33" s="517"/>
      <c r="F33" s="517"/>
      <c r="G33" s="517"/>
      <c r="I33" s="133"/>
      <c r="J33" s="133"/>
      <c r="K33" s="133"/>
    </row>
    <row r="34" spans="1:13" s="287" customFormat="1" ht="14.25">
      <c r="A34" s="517" t="s">
        <v>437</v>
      </c>
      <c r="B34" s="517"/>
      <c r="C34" s="517"/>
      <c r="D34" s="517"/>
      <c r="E34" s="517"/>
      <c r="F34" s="517"/>
      <c r="G34" s="517"/>
      <c r="H34" s="288"/>
    </row>
    <row r="35" spans="1:13" s="287" customFormat="1" ht="13.5" customHeight="1">
      <c r="A35" s="529" t="s">
        <v>506</v>
      </c>
      <c r="B35" s="529"/>
      <c r="C35" s="529"/>
      <c r="D35" s="529"/>
      <c r="E35" s="529"/>
      <c r="F35" s="529"/>
      <c r="G35" s="529"/>
      <c r="H35" s="288"/>
      <c r="I35" s="288"/>
      <c r="J35" s="288"/>
      <c r="K35" s="288"/>
    </row>
    <row r="36" spans="1:13" s="287" customFormat="1" ht="13.5" customHeight="1">
      <c r="A36" s="525" t="s">
        <v>507</v>
      </c>
      <c r="B36" s="525"/>
      <c r="C36" s="525"/>
      <c r="D36" s="525"/>
      <c r="E36" s="525"/>
      <c r="F36" s="525"/>
      <c r="G36" s="525"/>
      <c r="H36" s="288"/>
      <c r="I36" s="288"/>
      <c r="J36" s="288"/>
      <c r="K36" s="288"/>
    </row>
    <row r="37" spans="1:13" s="287" customFormat="1" ht="14.25">
      <c r="A37" s="517" t="s">
        <v>973</v>
      </c>
      <c r="B37" s="517"/>
      <c r="C37" s="517"/>
      <c r="D37" s="517"/>
      <c r="E37" s="517"/>
      <c r="F37" s="517"/>
      <c r="G37" s="517"/>
      <c r="H37" s="288"/>
    </row>
    <row r="38" spans="1:13" s="287" customFormat="1" ht="13.5" customHeight="1">
      <c r="A38" s="529" t="s">
        <v>440</v>
      </c>
      <c r="B38" s="529"/>
      <c r="C38" s="529"/>
      <c r="D38" s="529"/>
      <c r="E38" s="529"/>
      <c r="F38" s="529"/>
      <c r="G38" s="529"/>
      <c r="H38" s="288"/>
      <c r="I38" s="288"/>
      <c r="J38" s="288"/>
      <c r="K38" s="288"/>
    </row>
    <row r="39" spans="1:13" s="287" customFormat="1" ht="13.5" customHeight="1">
      <c r="A39" s="525" t="s">
        <v>441</v>
      </c>
      <c r="B39" s="525"/>
      <c r="C39" s="525"/>
      <c r="D39" s="525"/>
      <c r="E39" s="525"/>
      <c r="F39" s="525"/>
      <c r="G39" s="525"/>
      <c r="H39" s="288"/>
      <c r="I39" s="288"/>
      <c r="J39" s="288"/>
      <c r="K39" s="288"/>
    </row>
    <row r="40" spans="1:13" s="287" customFormat="1" ht="13.5" customHeight="1">
      <c r="A40" s="525" t="s">
        <v>442</v>
      </c>
      <c r="B40" s="525"/>
      <c r="C40" s="525"/>
      <c r="D40" s="525"/>
      <c r="E40" s="525"/>
      <c r="F40" s="525"/>
      <c r="G40" s="525"/>
      <c r="H40" s="288"/>
      <c r="I40" s="288"/>
      <c r="J40" s="288"/>
      <c r="K40" s="288"/>
    </row>
    <row r="41" spans="1:13" ht="8.25" customHeight="1">
      <c r="A41" s="604"/>
      <c r="B41" s="604"/>
      <c r="C41" s="604"/>
      <c r="D41" s="604"/>
      <c r="E41" s="604"/>
      <c r="F41" s="604"/>
      <c r="G41" s="604"/>
    </row>
    <row r="42" spans="1:13">
      <c r="A42" s="619" t="s">
        <v>48</v>
      </c>
      <c r="B42" s="620"/>
      <c r="C42" s="620"/>
      <c r="D42" s="620"/>
      <c r="E42" s="620"/>
      <c r="F42" s="620"/>
      <c r="G42" s="621"/>
    </row>
    <row r="43" spans="1:13" s="88" customFormat="1" ht="6.75" customHeight="1">
      <c r="A43" s="645"/>
      <c r="B43" s="646"/>
      <c r="C43" s="646"/>
      <c r="D43" s="646"/>
      <c r="E43" s="646"/>
      <c r="F43" s="646"/>
      <c r="G43" s="647"/>
      <c r="L43" s="133"/>
      <c r="M43" s="133"/>
    </row>
    <row r="44" spans="1:13" s="237" customFormat="1" ht="13.5" customHeight="1">
      <c r="A44" s="614" t="s">
        <v>505</v>
      </c>
      <c r="B44" s="520"/>
      <c r="C44" s="520"/>
      <c r="D44" s="520"/>
      <c r="E44" s="520"/>
      <c r="F44" s="520"/>
      <c r="G44" s="615"/>
      <c r="L44" s="236"/>
      <c r="M44" s="236"/>
    </row>
    <row r="45" spans="1:13" s="237" customFormat="1" ht="13.5" customHeight="1">
      <c r="A45" s="614" t="s">
        <v>360</v>
      </c>
      <c r="B45" s="520"/>
      <c r="C45" s="520"/>
      <c r="D45" s="520"/>
      <c r="E45" s="520"/>
      <c r="F45" s="520"/>
      <c r="G45" s="615"/>
      <c r="L45" s="236"/>
      <c r="M45" s="236"/>
    </row>
    <row r="46" spans="1:13" s="237" customFormat="1" ht="13.5" customHeight="1">
      <c r="A46" s="614" t="s">
        <v>361</v>
      </c>
      <c r="B46" s="520"/>
      <c r="C46" s="520"/>
      <c r="D46" s="520"/>
      <c r="E46" s="520"/>
      <c r="F46" s="520"/>
      <c r="G46" s="615"/>
      <c r="L46" s="236"/>
      <c r="M46" s="236"/>
    </row>
    <row r="47" spans="1:13" s="237" customFormat="1" ht="13.5" customHeight="1">
      <c r="A47" s="614" t="s">
        <v>362</v>
      </c>
      <c r="B47" s="520"/>
      <c r="C47" s="520"/>
      <c r="D47" s="520"/>
      <c r="E47" s="520"/>
      <c r="F47" s="520"/>
      <c r="G47" s="615"/>
      <c r="L47" s="236"/>
      <c r="M47" s="236"/>
    </row>
    <row r="48" spans="1:13" s="237" customFormat="1" ht="13.5" customHeight="1">
      <c r="A48" s="614" t="s">
        <v>363</v>
      </c>
      <c r="B48" s="520"/>
      <c r="C48" s="520"/>
      <c r="D48" s="520"/>
      <c r="E48" s="520"/>
      <c r="F48" s="520"/>
      <c r="G48" s="615"/>
      <c r="L48" s="236"/>
      <c r="M48" s="236"/>
    </row>
    <row r="49" spans="1:13" s="237" customFormat="1" ht="13.5" customHeight="1">
      <c r="A49" s="614" t="s">
        <v>364</v>
      </c>
      <c r="B49" s="520"/>
      <c r="C49" s="520"/>
      <c r="D49" s="520"/>
      <c r="E49" s="520"/>
      <c r="F49" s="520"/>
      <c r="G49" s="615"/>
      <c r="L49" s="236"/>
      <c r="M49" s="236"/>
    </row>
    <row r="50" spans="1:13" s="237" customFormat="1" ht="13.5" customHeight="1">
      <c r="A50" s="614" t="s">
        <v>365</v>
      </c>
      <c r="B50" s="520"/>
      <c r="C50" s="520"/>
      <c r="D50" s="520"/>
      <c r="E50" s="520"/>
      <c r="F50" s="520"/>
      <c r="G50" s="615"/>
      <c r="L50" s="236"/>
      <c r="M50" s="236"/>
    </row>
    <row r="51" spans="1:13" s="237" customFormat="1" ht="13.5" customHeight="1">
      <c r="A51" s="614" t="s">
        <v>366</v>
      </c>
      <c r="B51" s="520"/>
      <c r="C51" s="520"/>
      <c r="D51" s="520"/>
      <c r="E51" s="520"/>
      <c r="F51" s="520"/>
      <c r="G51" s="615"/>
      <c r="L51" s="236"/>
      <c r="M51" s="236"/>
    </row>
    <row r="52" spans="1:13" s="237" customFormat="1" ht="13.5" customHeight="1">
      <c r="A52" s="614" t="s">
        <v>367</v>
      </c>
      <c r="B52" s="520"/>
      <c r="C52" s="520"/>
      <c r="D52" s="520"/>
      <c r="E52" s="520"/>
      <c r="F52" s="520"/>
      <c r="G52" s="615"/>
      <c r="L52" s="236"/>
      <c r="M52" s="236"/>
    </row>
    <row r="53" spans="1:13" s="88" customFormat="1" ht="13.5" customHeight="1">
      <c r="A53" s="614" t="s">
        <v>368</v>
      </c>
      <c r="B53" s="520"/>
      <c r="C53" s="520"/>
      <c r="D53" s="520"/>
      <c r="E53" s="520"/>
      <c r="F53" s="520"/>
      <c r="G53" s="615"/>
      <c r="L53" s="133"/>
      <c r="M53" s="133"/>
    </row>
    <row r="54" spans="1:13" s="88" customFormat="1" ht="13.5" customHeight="1">
      <c r="A54" s="614" t="s">
        <v>369</v>
      </c>
      <c r="B54" s="520"/>
      <c r="C54" s="520"/>
      <c r="D54" s="520"/>
      <c r="E54" s="520"/>
      <c r="F54" s="520"/>
      <c r="G54" s="615"/>
      <c r="L54" s="133"/>
      <c r="M54" s="133"/>
    </row>
    <row r="55" spans="1:13" s="88" customFormat="1" ht="3.75" customHeight="1">
      <c r="A55" s="614"/>
      <c r="B55" s="520"/>
      <c r="C55" s="520"/>
      <c r="D55" s="520"/>
      <c r="E55" s="520"/>
      <c r="F55" s="520"/>
      <c r="G55" s="615"/>
      <c r="L55" s="133"/>
      <c r="M55" s="133"/>
    </row>
    <row r="56" spans="1:13" s="88" customFormat="1" ht="21">
      <c r="A56" s="36" t="s">
        <v>114</v>
      </c>
      <c r="B56" s="144">
        <f>$B$1</f>
        <v>3</v>
      </c>
      <c r="C56" s="37" t="s">
        <v>39</v>
      </c>
      <c r="D56" s="38" t="str">
        <f>$E$1</f>
        <v>遭遇毎</v>
      </c>
      <c r="E56" s="691" t="str">
        <f>$B$2</f>
        <v>ファイアーズ・オヴ・ジャッジメント</v>
      </c>
      <c r="F56" s="692"/>
      <c r="G56" s="693"/>
      <c r="L56" s="133"/>
      <c r="M56" s="133"/>
    </row>
  </sheetData>
  <mergeCells count="55">
    <mergeCell ref="A32:G32"/>
    <mergeCell ref="A40:G40"/>
    <mergeCell ref="A41:G41"/>
    <mergeCell ref="A42:G42"/>
    <mergeCell ref="A34:G34"/>
    <mergeCell ref="A35:G35"/>
    <mergeCell ref="A36:G36"/>
    <mergeCell ref="A37:G37"/>
    <mergeCell ref="A38:G38"/>
    <mergeCell ref="A39:G39"/>
    <mergeCell ref="A43:G43"/>
    <mergeCell ref="J9:K9"/>
    <mergeCell ref="B1:C1"/>
    <mergeCell ref="F1:G1"/>
    <mergeCell ref="B2:G2"/>
    <mergeCell ref="B6:D6"/>
    <mergeCell ref="B7:D7"/>
    <mergeCell ref="H4:L4"/>
    <mergeCell ref="B4:G4"/>
    <mergeCell ref="B5:G5"/>
    <mergeCell ref="B8:G8"/>
    <mergeCell ref="B9:G9"/>
    <mergeCell ref="B10:G10"/>
    <mergeCell ref="B12:G12"/>
    <mergeCell ref="B13:G13"/>
    <mergeCell ref="B14:G14"/>
    <mergeCell ref="J11:K11"/>
    <mergeCell ref="B16:G16"/>
    <mergeCell ref="A28:G28"/>
    <mergeCell ref="A33:G33"/>
    <mergeCell ref="B15:G15"/>
    <mergeCell ref="A18:C19"/>
    <mergeCell ref="D18:E18"/>
    <mergeCell ref="F18:G18"/>
    <mergeCell ref="A20:A23"/>
    <mergeCell ref="C20:C23"/>
    <mergeCell ref="A24:A25"/>
    <mergeCell ref="A26:A27"/>
    <mergeCell ref="B11:G11"/>
    <mergeCell ref="A29:G29"/>
    <mergeCell ref="A30:G30"/>
    <mergeCell ref="A31:G31"/>
    <mergeCell ref="E56:G56"/>
    <mergeCell ref="A55:G55"/>
    <mergeCell ref="A44:G44"/>
    <mergeCell ref="A45:G45"/>
    <mergeCell ref="A46:G46"/>
    <mergeCell ref="A47:G47"/>
    <mergeCell ref="A49:G49"/>
    <mergeCell ref="A50:G50"/>
    <mergeCell ref="A53:G53"/>
    <mergeCell ref="A54:G54"/>
    <mergeCell ref="A51:G51"/>
    <mergeCell ref="A52:G52"/>
    <mergeCell ref="A48:G48"/>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 type="list" allowBlank="1" showInputMessage="1" showErrorMessage="1">
          <x14:formula1>
            <xm:f>基本!$A$5:$A$10</xm:f>
          </x14:formula1>
          <xm:sqref>I8 I10 K15</xm:sqref>
        </x14:dataValidation>
        <x14:dataValidation type="list" allowBlank="1" showInputMessage="1" showErrorMessage="1">
          <x14:formula1>
            <xm:f>基本!$D$27:$D$31</xm:f>
          </x14:formula1>
          <xm:sqref>I7</xm:sqref>
        </x14:dataValidation>
        <x14:dataValidation type="list" allowBlank="1" showInputMessage="1" showErrorMessage="1">
          <x14:formula1>
            <xm:f>基本!$A$16:$A$19</xm:f>
          </x14:formula1>
          <xm:sqref>K8</xm:sqref>
        </x14:dataValidation>
        <x14:dataValidation type="list" allowBlank="1" showInputMessage="1" showErrorMessage="1">
          <x14:formula1>
            <xm:f>基本!$C$27:$C$37</xm:f>
          </x14:formula1>
          <xm:sqref>I15</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N56"/>
  <sheetViews>
    <sheetView zoomScaleNormal="100" workbookViewId="0"/>
  </sheetViews>
  <sheetFormatPr defaultRowHeight="13.5"/>
  <cols>
    <col min="1" max="1" width="7.875" style="287" customWidth="1"/>
    <col min="2" max="2" width="8.5" style="287" customWidth="1"/>
    <col min="3" max="3" width="6.625" style="287" customWidth="1"/>
    <col min="4" max="4" width="15.75" style="287" customWidth="1"/>
    <col min="5" max="6" width="15.75" style="288" customWidth="1"/>
    <col min="7" max="7" width="18.25" style="288" customWidth="1"/>
    <col min="8" max="8" width="17.375" style="288" customWidth="1"/>
    <col min="9" max="9" width="14.625" style="288" customWidth="1"/>
    <col min="10" max="10" width="8.375" style="288" customWidth="1"/>
    <col min="11" max="11" width="7.5" style="288" customWidth="1"/>
    <col min="12" max="13" width="7.875" style="287" customWidth="1"/>
    <col min="14" max="14" width="9.25" style="287" customWidth="1"/>
    <col min="15" max="15" width="12.375" style="287" customWidth="1"/>
    <col min="16" max="16384" width="9" style="287"/>
  </cols>
  <sheetData>
    <row r="1" spans="1:14" ht="21">
      <c r="A1" s="253" t="s">
        <v>114</v>
      </c>
      <c r="B1" s="676">
        <v>1</v>
      </c>
      <c r="C1" s="677"/>
      <c r="D1" s="254" t="s">
        <v>39</v>
      </c>
      <c r="E1" s="255" t="s">
        <v>111</v>
      </c>
      <c r="F1" s="678"/>
      <c r="G1" s="679"/>
      <c r="H1" s="244" t="s">
        <v>54</v>
      </c>
    </row>
    <row r="2" spans="1:14" ht="24.75" customHeight="1">
      <c r="A2" s="254" t="s">
        <v>0</v>
      </c>
      <c r="B2" s="680" t="s">
        <v>152</v>
      </c>
      <c r="C2" s="680"/>
      <c r="D2" s="680"/>
      <c r="E2" s="680"/>
      <c r="F2" s="680"/>
      <c r="G2" s="680"/>
      <c r="H2" s="244" t="s">
        <v>55</v>
      </c>
    </row>
    <row r="3" spans="1:14" ht="19.5" customHeight="1">
      <c r="A3" s="246" t="s">
        <v>47</v>
      </c>
      <c r="B3" s="288"/>
      <c r="C3" s="288"/>
      <c r="D3" s="288"/>
      <c r="I3" s="244"/>
    </row>
    <row r="4" spans="1:14">
      <c r="A4" s="260" t="s">
        <v>45</v>
      </c>
      <c r="B4" s="628" t="s">
        <v>153</v>
      </c>
      <c r="C4" s="629"/>
      <c r="D4" s="629"/>
      <c r="E4" s="629"/>
      <c r="F4" s="629"/>
      <c r="G4" s="630"/>
      <c r="H4" s="539" t="s">
        <v>339</v>
      </c>
      <c r="I4" s="540"/>
      <c r="J4" s="540"/>
      <c r="K4" s="540"/>
      <c r="L4" s="541"/>
    </row>
    <row r="5" spans="1:14">
      <c r="A5" s="261" t="s">
        <v>38</v>
      </c>
      <c r="B5" s="628" t="s">
        <v>142</v>
      </c>
      <c r="C5" s="629"/>
      <c r="D5" s="629"/>
      <c r="E5" s="629"/>
      <c r="F5" s="629"/>
      <c r="G5" s="630"/>
      <c r="H5" s="499" t="s">
        <v>42</v>
      </c>
      <c r="I5" s="501" t="s">
        <v>70</v>
      </c>
      <c r="J5" s="501">
        <v>10</v>
      </c>
    </row>
    <row r="6" spans="1:14">
      <c r="A6" s="261" t="s">
        <v>7</v>
      </c>
      <c r="B6" s="628" t="s">
        <v>5</v>
      </c>
      <c r="C6" s="629"/>
      <c r="D6" s="630"/>
      <c r="E6" s="499" t="s">
        <v>42</v>
      </c>
      <c r="F6" s="500" t="str">
        <f>$I$5</f>
        <v>遠隔</v>
      </c>
      <c r="G6" s="500">
        <f>IF($J$5 = 0,"", $J$5)</f>
        <v>10</v>
      </c>
      <c r="H6" s="499" t="s">
        <v>65</v>
      </c>
      <c r="I6" s="501"/>
      <c r="J6" s="501"/>
    </row>
    <row r="7" spans="1:14">
      <c r="A7" s="262" t="s">
        <v>6</v>
      </c>
      <c r="B7" s="628" t="s">
        <v>154</v>
      </c>
      <c r="C7" s="629"/>
      <c r="D7" s="630"/>
      <c r="E7" s="499" t="s">
        <v>65</v>
      </c>
      <c r="F7" s="500" t="str">
        <f>IF($I$6 = 0,"", $I$6)</f>
        <v/>
      </c>
      <c r="G7" s="500" t="str">
        <f>IF($J$6 = 0,"", $J$6)</f>
        <v/>
      </c>
      <c r="H7" s="499" t="s">
        <v>84</v>
      </c>
      <c r="I7" s="501" t="s">
        <v>112</v>
      </c>
      <c r="J7" s="244" t="s">
        <v>61</v>
      </c>
      <c r="L7" s="230" t="s">
        <v>343</v>
      </c>
    </row>
    <row r="8" spans="1:14">
      <c r="A8" s="262" t="s">
        <v>8</v>
      </c>
      <c r="B8" s="655" t="s">
        <v>141</v>
      </c>
      <c r="C8" s="653"/>
      <c r="D8" s="653"/>
      <c r="E8" s="653"/>
      <c r="F8" s="653"/>
      <c r="G8" s="654"/>
      <c r="H8" s="499" t="s">
        <v>50</v>
      </c>
      <c r="I8" s="501" t="s">
        <v>139</v>
      </c>
      <c r="J8" s="500">
        <f>IF($I$8 = "筋力",基本!$C$5,IF($I$8 = "耐久力",基本!$C$6,IF($I$8 = "敏捷力",基本!$C$7,IF($I$8 = "知力",基本!$C$8,IF($I$8 = "判断力",基本!$C$9,IF($I$8 = "判断力",基本!$C$10,""))))))</f>
        <v>7</v>
      </c>
      <c r="K8" s="501" t="s">
        <v>19</v>
      </c>
      <c r="L8" s="229">
        <f>$J$8+$L$9+$I$9</f>
        <v>22</v>
      </c>
    </row>
    <row r="9" spans="1:14" ht="14.25" customHeight="1">
      <c r="A9" s="274" t="s">
        <v>9</v>
      </c>
      <c r="B9" s="642" t="s">
        <v>156</v>
      </c>
      <c r="C9" s="643"/>
      <c r="D9" s="643"/>
      <c r="E9" s="643"/>
      <c r="F9" s="643"/>
      <c r="G9" s="644"/>
      <c r="H9" s="499" t="s">
        <v>57</v>
      </c>
      <c r="I9" s="501">
        <v>0</v>
      </c>
      <c r="J9" s="539" t="s">
        <v>52</v>
      </c>
      <c r="K9" s="541"/>
      <c r="L9" s="500">
        <f>IF($I$7=基本!$F$4,基本!$O$7,IF($I$7=基本!$F$13,基本!$O$16,IF($I$7=基本!$F$22,基本!$O$25,IF($I$7=基本!$F$31,基本!$O$34,IF($I$7=基本!$F$40,基本!$O$43,0)))))</f>
        <v>15</v>
      </c>
    </row>
    <row r="10" spans="1:14" ht="14.25" customHeight="1">
      <c r="A10" s="274"/>
      <c r="B10" s="645" t="s">
        <v>157</v>
      </c>
      <c r="C10" s="646"/>
      <c r="D10" s="646"/>
      <c r="E10" s="646"/>
      <c r="F10" s="646"/>
      <c r="G10" s="647"/>
      <c r="H10" s="498" t="s">
        <v>51</v>
      </c>
      <c r="I10" s="501" t="s">
        <v>139</v>
      </c>
      <c r="J10" s="249">
        <f>IF($I$10 = "筋力",基本!$C$5,IF($I$10 = "耐久力",基本!$C$6,IF($I$10 = "敏捷力",基本!$C$7,IF($I$10 = "知力",基本!$C$8,IF($I$10 = "判断力",基本!$C$9,IF($I$10 = "判断力",基本!$C$10,""))))))</f>
        <v>7</v>
      </c>
      <c r="L10" s="288"/>
    </row>
    <row r="11" spans="1:14" ht="14.25" customHeight="1">
      <c r="A11" s="274"/>
      <c r="B11" s="645" t="s">
        <v>158</v>
      </c>
      <c r="C11" s="646"/>
      <c r="D11" s="646"/>
      <c r="E11" s="646"/>
      <c r="F11" s="646"/>
      <c r="G11" s="647"/>
      <c r="H11" s="499" t="s">
        <v>58</v>
      </c>
      <c r="I11" s="501">
        <v>0</v>
      </c>
      <c r="J11" s="539" t="s">
        <v>53</v>
      </c>
      <c r="K11" s="541"/>
      <c r="L11" s="500">
        <f>IF($I$7=基本!$F$4,基本!$O$9,IF($I$7=基本!$F$13,基本!$O$18,IF($I$7=基本!$F$22,基本!$O$27,IF($I$7=基本!$F$31,基本!$O$36,IF($I$7=基本!$F$40,基本!$O$45,0)))))</f>
        <v>4</v>
      </c>
    </row>
    <row r="12" spans="1:14" ht="9" customHeight="1">
      <c r="A12" s="274"/>
      <c r="B12" s="645"/>
      <c r="C12" s="646"/>
      <c r="D12" s="646"/>
      <c r="E12" s="646"/>
      <c r="F12" s="646"/>
      <c r="G12" s="647"/>
      <c r="J12" s="287"/>
      <c r="K12" s="287"/>
      <c r="L12" s="230" t="s">
        <v>343</v>
      </c>
    </row>
    <row r="13" spans="1:14" ht="9" customHeight="1">
      <c r="A13" s="274"/>
      <c r="B13" s="645"/>
      <c r="C13" s="646"/>
      <c r="D13" s="646"/>
      <c r="E13" s="646"/>
      <c r="F13" s="646"/>
      <c r="G13" s="647"/>
      <c r="H13" s="499" t="s">
        <v>85</v>
      </c>
      <c r="I13" s="501">
        <v>1</v>
      </c>
      <c r="J13" s="499" t="s">
        <v>43</v>
      </c>
      <c r="K13" s="501">
        <v>6</v>
      </c>
      <c r="L13" s="229">
        <f>$J$10+$L$11+$I$11</f>
        <v>11</v>
      </c>
      <c r="N13" s="256"/>
    </row>
    <row r="14" spans="1:14" ht="9" customHeight="1">
      <c r="A14" s="266"/>
      <c r="B14" s="698"/>
      <c r="C14" s="699"/>
      <c r="D14" s="699"/>
      <c r="E14" s="699"/>
      <c r="F14" s="699"/>
      <c r="G14" s="700"/>
      <c r="H14" s="499" t="s">
        <v>49</v>
      </c>
      <c r="I14" s="245">
        <f>IF($I$7=基本!$F$4,基本!$L$11,IF($I$7=基本!$F$13,基本!$L$20,IF($I$7=基本!$F$22,基本!$L$29,IF($I$7=基本!$F$31,基本!$L$38,IF($I$7=基本!$F$40,基本!$L$47,0)))))</f>
        <v>5</v>
      </c>
      <c r="J14" s="499" t="s">
        <v>43</v>
      </c>
      <c r="K14" s="245">
        <f>IF($I$7=基本!$F$4,基本!$N$11,IF($I$7=基本!$F$13,基本!$N$20,IF($I$7=基本!$F$22,基本!$N$29,IF($I$7=基本!$F$31,基本!$N$38,IF($I$7=基本!$F$40,基本!$N$47,0)))))</f>
        <v>12</v>
      </c>
      <c r="L14" s="229">
        <f>$J$10+$L$11+$I$11+($I$13*$K$13)</f>
        <v>17</v>
      </c>
      <c r="N14" s="256"/>
    </row>
    <row r="15" spans="1:14" ht="9" customHeight="1">
      <c r="A15" s="274"/>
      <c r="B15" s="645"/>
      <c r="C15" s="646"/>
      <c r="D15" s="646"/>
      <c r="E15" s="646"/>
      <c r="F15" s="646"/>
      <c r="G15" s="647"/>
      <c r="H15" s="499" t="s">
        <v>59</v>
      </c>
      <c r="I15" s="501" t="s">
        <v>79</v>
      </c>
      <c r="J15" s="499" t="s">
        <v>342</v>
      </c>
      <c r="K15" s="501" t="s">
        <v>15</v>
      </c>
      <c r="L15" s="500">
        <f>IF(K15="",0,VLOOKUP(K15,基本!$A$5:'基本'!$C$10,3,FALSE))</f>
        <v>3</v>
      </c>
    </row>
    <row r="16" spans="1:14" ht="10.5" customHeight="1">
      <c r="A16" s="264"/>
      <c r="B16" s="603"/>
      <c r="C16" s="604"/>
      <c r="D16" s="604"/>
      <c r="E16" s="604"/>
      <c r="F16" s="604"/>
      <c r="G16" s="605"/>
      <c r="H16" s="287"/>
      <c r="I16" s="287"/>
      <c r="J16" s="287"/>
      <c r="K16" s="287"/>
    </row>
    <row r="17" spans="1:11" ht="14.25" thickBot="1">
      <c r="A17" s="265" t="s">
        <v>46</v>
      </c>
      <c r="E17" s="241"/>
      <c r="H17" s="287"/>
      <c r="I17" s="287"/>
      <c r="J17" s="287"/>
      <c r="K17" s="287"/>
    </row>
    <row r="18" spans="1:11" ht="15" customHeight="1">
      <c r="A18" s="701" t="str">
        <f>$B$2</f>
        <v>サンダー・オヴ・ジャッジメント</v>
      </c>
      <c r="B18" s="702"/>
      <c r="C18" s="703"/>
      <c r="D18" s="662" t="s">
        <v>2</v>
      </c>
      <c r="E18" s="663"/>
      <c r="F18" s="664" t="s">
        <v>479</v>
      </c>
      <c r="G18" s="665"/>
      <c r="H18" s="287"/>
      <c r="I18" s="287"/>
      <c r="J18" s="287"/>
      <c r="K18" s="287"/>
    </row>
    <row r="19" spans="1:11" ht="18.75" customHeight="1" thickBot="1">
      <c r="A19" s="704"/>
      <c r="B19" s="705"/>
      <c r="C19" s="706"/>
      <c r="D19" s="312" t="s">
        <v>2</v>
      </c>
      <c r="E19" s="313" t="s">
        <v>1</v>
      </c>
      <c r="F19" s="312" t="s">
        <v>2</v>
      </c>
      <c r="G19" s="314" t="s">
        <v>1</v>
      </c>
      <c r="H19" s="287"/>
      <c r="I19" s="287"/>
      <c r="J19" s="287"/>
      <c r="K19" s="287"/>
    </row>
    <row r="20" spans="1:11" ht="24" customHeight="1">
      <c r="A20" s="611" t="s">
        <v>41</v>
      </c>
      <c r="B20" s="315" t="s">
        <v>113</v>
      </c>
      <c r="C20" s="666" t="str">
        <f>$K$8</f>
        <v>頑健</v>
      </c>
      <c r="D20" s="316" t="str">
        <f>$L$8 &amp; "+1d20"</f>
        <v>22+1d20</v>
      </c>
      <c r="E20" s="317" t="str">
        <f>$L$8+2 &amp; "+1d20"</f>
        <v>24+1d20</v>
      </c>
      <c r="F20" s="316" t="str">
        <f>$L$8 &amp; "+1d20"</f>
        <v>22+1d20</v>
      </c>
      <c r="G20" s="318" t="str">
        <f>$L$8+2 &amp; "+1d20"</f>
        <v>24+1d20</v>
      </c>
      <c r="H20" s="287"/>
      <c r="I20" s="287"/>
      <c r="J20" s="287"/>
      <c r="K20" s="287"/>
    </row>
    <row r="21" spans="1:11" ht="24" customHeight="1">
      <c r="A21" s="612"/>
      <c r="B21" s="332" t="s">
        <v>483</v>
      </c>
      <c r="C21" s="667"/>
      <c r="D21" s="325" t="str">
        <f>2+$L$8 &amp; "+1d20"</f>
        <v>24+1d20</v>
      </c>
      <c r="E21" s="326" t="str">
        <f>2+$L$8+2 &amp; "+1d20"</f>
        <v>26+1d20</v>
      </c>
      <c r="F21" s="325" t="str">
        <f>2+$L$8 &amp; "+1d20"</f>
        <v>24+1d20</v>
      </c>
      <c r="G21" s="327" t="str">
        <f>2+$L$8+2 &amp; "+1d20"</f>
        <v>26+1d20</v>
      </c>
      <c r="H21" s="287"/>
      <c r="I21" s="287"/>
      <c r="J21" s="287"/>
      <c r="K21" s="287"/>
    </row>
    <row r="22" spans="1:11" ht="24" customHeight="1">
      <c r="A22" s="612"/>
      <c r="B22" s="328" t="s">
        <v>476</v>
      </c>
      <c r="C22" s="667"/>
      <c r="D22" s="329" t="str">
        <f>3+$L$8 &amp; "+1d20"</f>
        <v>25+1d20</v>
      </c>
      <c r="E22" s="330" t="str">
        <f>3+$L$8+2 &amp; "+1d20"</f>
        <v>27+1d20</v>
      </c>
      <c r="F22" s="329" t="str">
        <f>3+$L$8 &amp; "+1d20"</f>
        <v>25+1d20</v>
      </c>
      <c r="G22" s="331" t="str">
        <f>3+$L$8+2 &amp; "+1d20"</f>
        <v>27+1d20</v>
      </c>
      <c r="H22" s="287"/>
      <c r="I22" s="287"/>
      <c r="J22" s="287"/>
      <c r="K22" s="287"/>
    </row>
    <row r="23" spans="1:11" ht="24" customHeight="1" thickBot="1">
      <c r="A23" s="613"/>
      <c r="B23" s="324" t="s">
        <v>482</v>
      </c>
      <c r="C23" s="668"/>
      <c r="D23" s="319" t="str">
        <f>2+3+$L$8 &amp; "+1d20"</f>
        <v>27+1d20</v>
      </c>
      <c r="E23" s="320" t="str">
        <f>2+3+$L$8+2 &amp; "+1d20"</f>
        <v>29+1d20</v>
      </c>
      <c r="F23" s="319" t="str">
        <f>2+3+$L$8 &amp; "+1d20"</f>
        <v>27+1d20</v>
      </c>
      <c r="G23" s="321" t="str">
        <f>2+3+$L$8+2 &amp; "+1d20"</f>
        <v>29+1d20</v>
      </c>
      <c r="H23" s="287"/>
      <c r="I23" s="287"/>
      <c r="J23" s="287"/>
      <c r="K23" s="287"/>
    </row>
    <row r="24" spans="1:11" ht="23.25" customHeight="1">
      <c r="A24" s="818" t="s">
        <v>113</v>
      </c>
      <c r="B24" s="257" t="s">
        <v>4</v>
      </c>
      <c r="C24" s="267" t="str">
        <f>IF($I$15 = 0,"", $I$15)</f>
        <v>雷鳴</v>
      </c>
      <c r="D24" s="277" t="str">
        <f>$L$13 &amp; "+" &amp; $I$13 &amp; "d" &amp; $K$13</f>
        <v>11+1d6</v>
      </c>
      <c r="E24" s="322" t="str">
        <f>$L$13 &amp; "+" &amp; $I$13 &amp; "d" &amp; $K$13</f>
        <v>11+1d6</v>
      </c>
      <c r="F24" s="277" t="str">
        <f>3+$L$13 &amp; "+" &amp; $I$13 &amp; "d" &amp; $K$13</f>
        <v>14+1d6</v>
      </c>
      <c r="G24" s="278" t="str">
        <f>3+$L$13 &amp; "+" &amp; $I$13 &amp; "d" &amp; $K$13</f>
        <v>14+1d6</v>
      </c>
      <c r="H24" s="287"/>
      <c r="I24" s="287"/>
      <c r="J24" s="287"/>
      <c r="K24" s="287"/>
    </row>
    <row r="25" spans="1:11" ht="23.25" customHeight="1" thickBot="1">
      <c r="A25" s="819"/>
      <c r="B25" s="247" t="s">
        <v>3</v>
      </c>
      <c r="C25" s="258" t="str">
        <f>IF($I$15 = 0,"", $I$15)</f>
        <v>雷鳴</v>
      </c>
      <c r="D25" s="276" t="str">
        <f>$L$14 &amp; IF($I$14 = 0,"","+" &amp; $I$14 &amp; "d" &amp; $K$14)</f>
        <v>17+5d12</v>
      </c>
      <c r="E25" s="323" t="str">
        <f>$L$14 &amp; IF($I$14 = 0,"","+" &amp; $I$14 &amp; "d" &amp; $K$14)</f>
        <v>17+5d12</v>
      </c>
      <c r="F25" s="276" t="str">
        <f>3+$L$14 &amp; IF($I$14 = 0,"","+" &amp; $I$14 &amp; "d" &amp; $K$14)</f>
        <v>20+5d12</v>
      </c>
      <c r="G25" s="275" t="str">
        <f>3+$L$14 &amp; IF($I$14 = 0,"","+" &amp; $I$14 &amp; "d" &amp; $K$14)</f>
        <v>20+5d12</v>
      </c>
      <c r="H25" s="287"/>
      <c r="I25" s="287"/>
      <c r="J25" s="287"/>
      <c r="K25" s="287"/>
    </row>
    <row r="26" spans="1:11" ht="23.25" customHeight="1">
      <c r="A26" s="875" t="s">
        <v>155</v>
      </c>
      <c r="B26" s="257" t="s">
        <v>4</v>
      </c>
      <c r="C26" s="267" t="str">
        <f>IF($I$15 = 0,"", $I$15)</f>
        <v>雷鳴</v>
      </c>
      <c r="D26" s="277" t="str">
        <f>$L$13 &amp; "+" &amp; $I$13+1 &amp; "d" &amp; $K$13</f>
        <v>11+2d6</v>
      </c>
      <c r="E26" s="322" t="str">
        <f>$J$10+$L$11+$I$11 &amp; "+" &amp; $I$13+1 &amp; "d" &amp; $K$13</f>
        <v>11+2d6</v>
      </c>
      <c r="F26" s="277" t="str">
        <f>3+$L$13 &amp; "+" &amp; $I$13+1 &amp; "d" &amp; $K$13</f>
        <v>14+2d6</v>
      </c>
      <c r="G26" s="278" t="str">
        <f>3+$J$10+$L$11+$I$11 &amp; "+" &amp; $I$13+1 &amp; "d" &amp; $K$13</f>
        <v>14+2d6</v>
      </c>
      <c r="H26" s="287"/>
      <c r="I26" s="287"/>
      <c r="J26" s="287"/>
      <c r="K26" s="287"/>
    </row>
    <row r="27" spans="1:11" ht="23.25" customHeight="1" thickBot="1">
      <c r="A27" s="876"/>
      <c r="B27" s="247" t="s">
        <v>3</v>
      </c>
      <c r="C27" s="258" t="str">
        <f>IF($I$15 = 0,"", $I$15)</f>
        <v>雷鳴</v>
      </c>
      <c r="D27" s="276" t="str">
        <f>$L$14+($I$13*$K$13) &amp; IF($I$14 = 0,"","+" &amp; $I$14 &amp; "d" &amp; $K$14)</f>
        <v>23+5d12</v>
      </c>
      <c r="E27" s="323" t="str">
        <f>$L$14+($I$13*$K$13) &amp; IF($I$14 = 0,"","+" &amp; $I$14 &amp; "d" &amp; $K$14)</f>
        <v>23+5d12</v>
      </c>
      <c r="F27" s="276" t="str">
        <f>3+$L$14+($I$13*$K$13) &amp; IF($I$14 = 0,"","+" &amp; $I$14 &amp; "d" &amp; $K$14)</f>
        <v>26+5d12</v>
      </c>
      <c r="G27" s="275" t="str">
        <f>3+$L$14+($I$13*$K$13) &amp; IF($I$14 = 0,"","+" &amp; $I$14 &amp; "d" &amp; $K$14)</f>
        <v>26+5d12</v>
      </c>
      <c r="H27" s="287"/>
      <c r="I27" s="287"/>
      <c r="J27" s="287"/>
      <c r="K27" s="287"/>
    </row>
    <row r="28" spans="1:11" ht="6.75" customHeight="1">
      <c r="A28" s="523"/>
      <c r="B28" s="523"/>
      <c r="C28" s="523"/>
      <c r="D28" s="523"/>
      <c r="E28" s="523"/>
      <c r="F28" s="523"/>
      <c r="G28" s="523"/>
    </row>
    <row r="29" spans="1:11" ht="14.25">
      <c r="A29" s="517" t="s">
        <v>493</v>
      </c>
      <c r="B29" s="517"/>
      <c r="C29" s="517"/>
      <c r="D29" s="517"/>
      <c r="E29" s="517"/>
      <c r="F29" s="517"/>
      <c r="G29" s="517"/>
    </row>
    <row r="30" spans="1:11" ht="14.25">
      <c r="A30" s="517" t="s">
        <v>815</v>
      </c>
      <c r="B30" s="517"/>
      <c r="C30" s="517"/>
      <c r="D30" s="517"/>
      <c r="E30" s="517"/>
      <c r="F30" s="517"/>
      <c r="G30" s="517"/>
      <c r="I30" s="287"/>
      <c r="J30" s="287"/>
      <c r="K30" s="287"/>
    </row>
    <row r="31" spans="1:11" ht="14.25">
      <c r="A31" s="517" t="s">
        <v>809</v>
      </c>
      <c r="B31" s="517"/>
      <c r="C31" s="517"/>
      <c r="D31" s="517"/>
      <c r="E31" s="517"/>
      <c r="F31" s="517"/>
      <c r="G31" s="517"/>
      <c r="I31" s="287"/>
      <c r="J31" s="287"/>
      <c r="K31" s="287"/>
    </row>
    <row r="32" spans="1:11" ht="14.25">
      <c r="A32" s="517" t="s">
        <v>148</v>
      </c>
      <c r="B32" s="517"/>
      <c r="C32" s="517"/>
      <c r="D32" s="517"/>
      <c r="E32" s="517"/>
      <c r="F32" s="517"/>
      <c r="G32" s="517"/>
      <c r="I32" s="287"/>
      <c r="J32" s="287"/>
      <c r="K32" s="287"/>
    </row>
    <row r="33" spans="1:13" ht="14.25">
      <c r="A33" s="517" t="s">
        <v>149</v>
      </c>
      <c r="B33" s="517"/>
      <c r="C33" s="517"/>
      <c r="D33" s="517"/>
      <c r="E33" s="517"/>
      <c r="F33" s="517"/>
      <c r="G33" s="517"/>
      <c r="I33" s="287"/>
      <c r="J33" s="287"/>
      <c r="K33" s="287"/>
    </row>
    <row r="34" spans="1:13" ht="14.25">
      <c r="A34" s="517" t="s">
        <v>344</v>
      </c>
      <c r="B34" s="517"/>
      <c r="C34" s="517"/>
      <c r="D34" s="517"/>
      <c r="E34" s="517"/>
      <c r="F34" s="517"/>
      <c r="G34" s="517"/>
      <c r="I34" s="287"/>
      <c r="J34" s="287"/>
      <c r="K34" s="287"/>
    </row>
    <row r="35" spans="1:13" ht="14.25">
      <c r="A35" s="517" t="s">
        <v>147</v>
      </c>
      <c r="B35" s="517"/>
      <c r="C35" s="517"/>
      <c r="D35" s="517"/>
      <c r="E35" s="517"/>
      <c r="F35" s="517"/>
      <c r="G35" s="517"/>
      <c r="I35" s="287"/>
      <c r="J35" s="287"/>
      <c r="K35" s="287"/>
    </row>
    <row r="36" spans="1:13" ht="14.25">
      <c r="A36" s="517" t="s">
        <v>437</v>
      </c>
      <c r="B36" s="517"/>
      <c r="C36" s="517"/>
      <c r="D36" s="517"/>
      <c r="E36" s="517"/>
      <c r="F36" s="517"/>
      <c r="G36" s="517"/>
      <c r="I36" s="287"/>
      <c r="J36" s="287"/>
      <c r="K36" s="287"/>
    </row>
    <row r="37" spans="1:13">
      <c r="A37" s="529" t="s">
        <v>506</v>
      </c>
      <c r="B37" s="529"/>
      <c r="C37" s="529"/>
      <c r="D37" s="529"/>
      <c r="E37" s="529"/>
      <c r="F37" s="529"/>
      <c r="G37" s="529"/>
    </row>
    <row r="38" spans="1:13">
      <c r="A38" s="525" t="s">
        <v>507</v>
      </c>
      <c r="B38" s="525"/>
      <c r="C38" s="525"/>
      <c r="D38" s="525"/>
      <c r="E38" s="525"/>
      <c r="F38" s="525"/>
      <c r="G38" s="525"/>
    </row>
    <row r="39" spans="1:13" ht="14.25">
      <c r="A39" s="517" t="s">
        <v>973</v>
      </c>
      <c r="B39" s="517"/>
      <c r="C39" s="517"/>
      <c r="D39" s="517"/>
      <c r="E39" s="517"/>
      <c r="F39" s="517"/>
      <c r="G39" s="517"/>
      <c r="I39" s="287"/>
      <c r="J39" s="287"/>
      <c r="K39" s="287"/>
    </row>
    <row r="40" spans="1:13">
      <c r="A40" s="529" t="s">
        <v>440</v>
      </c>
      <c r="B40" s="529"/>
      <c r="C40" s="529"/>
      <c r="D40" s="529"/>
      <c r="E40" s="529"/>
      <c r="F40" s="529"/>
      <c r="G40" s="529"/>
    </row>
    <row r="41" spans="1:13">
      <c r="A41" s="525" t="s">
        <v>441</v>
      </c>
      <c r="B41" s="525"/>
      <c r="C41" s="525"/>
      <c r="D41" s="525"/>
      <c r="E41" s="525"/>
      <c r="F41" s="525"/>
      <c r="G41" s="525"/>
    </row>
    <row r="42" spans="1:13">
      <c r="A42" s="525" t="s">
        <v>442</v>
      </c>
      <c r="B42" s="525"/>
      <c r="C42" s="525"/>
      <c r="D42" s="525"/>
      <c r="E42" s="525"/>
      <c r="F42" s="525"/>
      <c r="G42" s="525"/>
    </row>
    <row r="43" spans="1:13" ht="6" customHeight="1">
      <c r="A43" s="604"/>
      <c r="B43" s="604"/>
      <c r="C43" s="604"/>
      <c r="D43" s="604"/>
      <c r="E43" s="604"/>
      <c r="F43" s="604"/>
      <c r="G43" s="604"/>
    </row>
    <row r="44" spans="1:13">
      <c r="A44" s="619" t="s">
        <v>48</v>
      </c>
      <c r="B44" s="620"/>
      <c r="C44" s="620"/>
      <c r="D44" s="620"/>
      <c r="E44" s="620"/>
      <c r="F44" s="620"/>
      <c r="G44" s="621"/>
    </row>
    <row r="45" spans="1:13" s="288" customFormat="1" ht="6" customHeight="1">
      <c r="A45" s="614"/>
      <c r="B45" s="520"/>
      <c r="C45" s="520"/>
      <c r="D45" s="520"/>
      <c r="E45" s="520"/>
      <c r="F45" s="520"/>
      <c r="G45" s="615"/>
      <c r="L45" s="287"/>
      <c r="M45" s="287"/>
    </row>
    <row r="46" spans="1:13" s="288" customFormat="1" ht="13.5" customHeight="1">
      <c r="A46" s="608" t="s">
        <v>499</v>
      </c>
      <c r="B46" s="609"/>
      <c r="C46" s="609"/>
      <c r="D46" s="609"/>
      <c r="E46" s="609"/>
      <c r="F46" s="609"/>
      <c r="G46" s="610"/>
      <c r="L46" s="287"/>
      <c r="M46" s="287"/>
    </row>
    <row r="47" spans="1:13" s="288" customFormat="1" ht="6" customHeight="1">
      <c r="A47" s="614"/>
      <c r="B47" s="520"/>
      <c r="C47" s="520"/>
      <c r="D47" s="520"/>
      <c r="E47" s="520"/>
      <c r="F47" s="520"/>
      <c r="G47" s="615"/>
      <c r="L47" s="287"/>
      <c r="M47" s="287"/>
    </row>
    <row r="48" spans="1:13" s="288" customFormat="1" ht="13.5" customHeight="1">
      <c r="A48" s="645" t="s">
        <v>418</v>
      </c>
      <c r="B48" s="646"/>
      <c r="C48" s="646"/>
      <c r="D48" s="646"/>
      <c r="E48" s="646"/>
      <c r="F48" s="646"/>
      <c r="G48" s="647"/>
      <c r="L48" s="287"/>
      <c r="M48" s="287"/>
    </row>
    <row r="49" spans="1:13" s="288" customFormat="1" ht="13.5" customHeight="1">
      <c r="A49" s="614" t="s">
        <v>419</v>
      </c>
      <c r="B49" s="520"/>
      <c r="C49" s="520"/>
      <c r="D49" s="520"/>
      <c r="E49" s="520"/>
      <c r="F49" s="520"/>
      <c r="G49" s="615"/>
      <c r="L49" s="287"/>
      <c r="M49" s="287"/>
    </row>
    <row r="50" spans="1:13" s="288" customFormat="1" ht="13.5" customHeight="1">
      <c r="A50" s="614" t="s">
        <v>503</v>
      </c>
      <c r="B50" s="520"/>
      <c r="C50" s="520"/>
      <c r="D50" s="520"/>
      <c r="E50" s="520"/>
      <c r="F50" s="520"/>
      <c r="G50" s="615"/>
      <c r="L50" s="287"/>
      <c r="M50" s="287"/>
    </row>
    <row r="51" spans="1:13" s="288" customFormat="1" ht="13.5" customHeight="1">
      <c r="A51" s="614" t="s">
        <v>420</v>
      </c>
      <c r="B51" s="520"/>
      <c r="C51" s="520"/>
      <c r="D51" s="520"/>
      <c r="E51" s="520"/>
      <c r="F51" s="520"/>
      <c r="G51" s="615"/>
      <c r="L51" s="287"/>
      <c r="M51" s="287"/>
    </row>
    <row r="52" spans="1:13" s="288" customFormat="1" ht="13.5" customHeight="1">
      <c r="A52" s="614" t="s">
        <v>421</v>
      </c>
      <c r="B52" s="520"/>
      <c r="C52" s="520"/>
      <c r="D52" s="520"/>
      <c r="E52" s="520"/>
      <c r="F52" s="520"/>
      <c r="G52" s="615"/>
      <c r="L52" s="287"/>
      <c r="M52" s="287"/>
    </row>
    <row r="53" spans="1:13" s="288" customFormat="1" ht="13.5" customHeight="1">
      <c r="A53" s="614" t="s">
        <v>504</v>
      </c>
      <c r="B53" s="520"/>
      <c r="C53" s="520"/>
      <c r="D53" s="520"/>
      <c r="E53" s="520"/>
      <c r="F53" s="520"/>
      <c r="G53" s="615"/>
      <c r="L53" s="287"/>
      <c r="M53" s="287"/>
    </row>
    <row r="54" spans="1:13" s="288" customFormat="1" ht="13.5" customHeight="1">
      <c r="A54" s="614" t="s">
        <v>422</v>
      </c>
      <c r="B54" s="520"/>
      <c r="C54" s="520"/>
      <c r="D54" s="520"/>
      <c r="E54" s="520"/>
      <c r="F54" s="520"/>
      <c r="G54" s="615"/>
      <c r="L54" s="287"/>
      <c r="M54" s="287"/>
    </row>
    <row r="55" spans="1:13" s="288" customFormat="1" ht="5.25" customHeight="1">
      <c r="A55" s="614"/>
      <c r="B55" s="520"/>
      <c r="C55" s="520"/>
      <c r="D55" s="520"/>
      <c r="E55" s="520"/>
      <c r="F55" s="520"/>
      <c r="G55" s="615"/>
      <c r="L55" s="287"/>
      <c r="M55" s="287"/>
    </row>
    <row r="56" spans="1:13" s="288" customFormat="1" ht="21">
      <c r="A56" s="250" t="s">
        <v>114</v>
      </c>
      <c r="B56" s="502">
        <f>$B$1</f>
        <v>1</v>
      </c>
      <c r="C56" s="251" t="s">
        <v>39</v>
      </c>
      <c r="D56" s="252" t="str">
        <f>$E$1</f>
        <v>遭遇毎</v>
      </c>
      <c r="E56" s="691" t="str">
        <f>$B$2</f>
        <v>サンダー・オヴ・ジャッジメント</v>
      </c>
      <c r="F56" s="692"/>
      <c r="G56" s="693"/>
      <c r="L56" s="287"/>
      <c r="M56" s="287"/>
    </row>
  </sheetData>
  <mergeCells count="55">
    <mergeCell ref="J9:K9"/>
    <mergeCell ref="B10:G10"/>
    <mergeCell ref="B1:C1"/>
    <mergeCell ref="F1:G1"/>
    <mergeCell ref="B2:G2"/>
    <mergeCell ref="B4:G4"/>
    <mergeCell ref="H4:L4"/>
    <mergeCell ref="B5:G5"/>
    <mergeCell ref="B6:D6"/>
    <mergeCell ref="B7:D7"/>
    <mergeCell ref="B8:G8"/>
    <mergeCell ref="B9:G9"/>
    <mergeCell ref="B11:G11"/>
    <mergeCell ref="J11:K11"/>
    <mergeCell ref="B12:G12"/>
    <mergeCell ref="B13:G13"/>
    <mergeCell ref="B14:G14"/>
    <mergeCell ref="B16:G16"/>
    <mergeCell ref="B15:G15"/>
    <mergeCell ref="A18:C19"/>
    <mergeCell ref="D18:E18"/>
    <mergeCell ref="F18:G18"/>
    <mergeCell ref="A20:A23"/>
    <mergeCell ref="C20:C23"/>
    <mergeCell ref="A37:G37"/>
    <mergeCell ref="A24:A25"/>
    <mergeCell ref="A26:A27"/>
    <mergeCell ref="A28:G28"/>
    <mergeCell ref="A29:G29"/>
    <mergeCell ref="A30:G30"/>
    <mergeCell ref="A31:G31"/>
    <mergeCell ref="A32:G32"/>
    <mergeCell ref="A33:G33"/>
    <mergeCell ref="A34:G34"/>
    <mergeCell ref="A35:G35"/>
    <mergeCell ref="A36:G36"/>
    <mergeCell ref="A49:G49"/>
    <mergeCell ref="A38:G38"/>
    <mergeCell ref="A39:G39"/>
    <mergeCell ref="A40:G40"/>
    <mergeCell ref="A41:G41"/>
    <mergeCell ref="A42:G42"/>
    <mergeCell ref="A43:G43"/>
    <mergeCell ref="A44:G44"/>
    <mergeCell ref="A45:G45"/>
    <mergeCell ref="A46:G46"/>
    <mergeCell ref="A47:G47"/>
    <mergeCell ref="A48:G48"/>
    <mergeCell ref="E56:G56"/>
    <mergeCell ref="A50:G50"/>
    <mergeCell ref="A51:G51"/>
    <mergeCell ref="A52:G52"/>
    <mergeCell ref="A53:G53"/>
    <mergeCell ref="A54:G54"/>
    <mergeCell ref="A55:G55"/>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68"/>
  <sheetViews>
    <sheetView zoomScaleNormal="100" workbookViewId="0">
      <pane ySplit="7" topLeftCell="A8" activePane="bottomLeft" state="frozen"/>
      <selection activeCell="A31" sqref="A31:G32"/>
      <selection pane="bottomLeft" activeCell="A2" sqref="A2:N2"/>
    </sheetView>
  </sheetViews>
  <sheetFormatPr defaultRowHeight="13.5"/>
  <cols>
    <col min="1" max="1" width="8.75" style="421" customWidth="1"/>
    <col min="2" max="2" width="17.5" style="421" customWidth="1"/>
    <col min="3" max="3" width="7.75" style="421" bestFit="1" customWidth="1"/>
    <col min="4" max="4" width="4.75" style="421" bestFit="1" customWidth="1"/>
    <col min="5" max="6" width="4" style="423" customWidth="1"/>
    <col min="7" max="7" width="5.5" style="425" customWidth="1"/>
    <col min="8" max="13" width="4" style="425" customWidth="1"/>
    <col min="14" max="14" width="11.25" style="425" customWidth="1"/>
    <col min="15" max="15" width="7.875" style="421" customWidth="1"/>
    <col min="16" max="16384" width="9" style="421"/>
  </cols>
  <sheetData>
    <row r="2" spans="1:16" ht="24.75" customHeight="1">
      <c r="A2" s="583" t="s">
        <v>788</v>
      </c>
      <c r="B2" s="583"/>
      <c r="C2" s="583"/>
      <c r="D2" s="583"/>
      <c r="E2" s="583"/>
      <c r="F2" s="583"/>
      <c r="G2" s="583"/>
      <c r="H2" s="583"/>
      <c r="I2" s="583"/>
      <c r="J2" s="583"/>
      <c r="K2" s="583"/>
      <c r="L2" s="583"/>
      <c r="M2" s="583"/>
      <c r="N2" s="583"/>
    </row>
    <row r="3" spans="1:16" ht="12" customHeight="1">
      <c r="A3" s="422"/>
      <c r="B3" s="422"/>
      <c r="C3" s="422"/>
      <c r="D3" s="422"/>
      <c r="F3" s="424"/>
      <c r="G3" s="422"/>
      <c r="N3" s="422"/>
    </row>
    <row r="4" spans="1:16" ht="24.75" customHeight="1">
      <c r="A4" s="422"/>
      <c r="B4" s="426" t="s">
        <v>645</v>
      </c>
      <c r="C4" s="379">
        <v>-1</v>
      </c>
      <c r="D4" s="422"/>
      <c r="F4" s="424"/>
      <c r="G4" s="422"/>
      <c r="N4" s="422"/>
    </row>
    <row r="5" spans="1:16" ht="17.25" customHeight="1">
      <c r="A5" s="422"/>
      <c r="B5" s="422"/>
      <c r="C5" s="422"/>
      <c r="D5" s="422"/>
      <c r="F5" s="424"/>
      <c r="G5" s="422"/>
      <c r="N5" s="422"/>
    </row>
    <row r="6" spans="1:16" ht="17.25" customHeight="1">
      <c r="A6" s="584" t="s">
        <v>767</v>
      </c>
      <c r="B6" s="585" t="s">
        <v>789</v>
      </c>
      <c r="C6" s="586" t="s">
        <v>644</v>
      </c>
      <c r="D6" s="587"/>
      <c r="E6" s="590" t="s">
        <v>774</v>
      </c>
      <c r="F6" s="575" t="s">
        <v>768</v>
      </c>
      <c r="G6" s="593" t="s">
        <v>643</v>
      </c>
      <c r="H6" s="595" t="s">
        <v>642</v>
      </c>
      <c r="I6" s="575"/>
      <c r="J6" s="575"/>
      <c r="K6" s="575"/>
      <c r="L6" s="575"/>
      <c r="M6" s="576"/>
      <c r="N6" s="596" t="s">
        <v>790</v>
      </c>
    </row>
    <row r="7" spans="1:16" ht="60" customHeight="1">
      <c r="A7" s="584"/>
      <c r="B7" s="585"/>
      <c r="C7" s="588"/>
      <c r="D7" s="589"/>
      <c r="E7" s="591"/>
      <c r="F7" s="592"/>
      <c r="G7" s="594"/>
      <c r="H7" s="427" t="s">
        <v>770</v>
      </c>
      <c r="I7" s="428" t="s">
        <v>463</v>
      </c>
      <c r="J7" s="429" t="s">
        <v>771</v>
      </c>
      <c r="K7" s="429" t="s">
        <v>83</v>
      </c>
      <c r="L7" s="430" t="s">
        <v>64</v>
      </c>
      <c r="M7" s="431" t="s">
        <v>772</v>
      </c>
      <c r="N7" s="597"/>
    </row>
    <row r="8" spans="1:16" ht="23.45" customHeight="1">
      <c r="A8" s="444">
        <f t="shared" ref="A8" si="0">SUM(D8:H8)</f>
        <v>11</v>
      </c>
      <c r="B8" s="476" t="s">
        <v>791</v>
      </c>
      <c r="C8" s="374" t="s">
        <v>624</v>
      </c>
      <c r="D8" s="373">
        <f>VLOOKUP("敏捷力",基本!$A$5:'基本'!$D$10,4,FALSE)</f>
        <v>9</v>
      </c>
      <c r="E8" s="464">
        <v>2</v>
      </c>
      <c r="F8" s="371"/>
      <c r="G8" s="376"/>
      <c r="H8" s="440">
        <f t="shared" ref="H8" si="1">SUM(I8:M8)</f>
        <v>0</v>
      </c>
      <c r="I8" s="441"/>
      <c r="J8" s="441"/>
      <c r="K8" s="441"/>
      <c r="L8" s="441"/>
      <c r="M8" s="442"/>
      <c r="N8" s="443"/>
    </row>
    <row r="9" spans="1:16" ht="23.45" customHeight="1">
      <c r="A9" s="432">
        <f t="shared" ref="A9:A25" si="2">SUM(D9:H9)</f>
        <v>9</v>
      </c>
      <c r="B9" s="433" t="s">
        <v>641</v>
      </c>
      <c r="C9" s="378" t="s">
        <v>622</v>
      </c>
      <c r="D9" s="377">
        <f>VLOOKUP("魅力",基本!$A$5:'基本'!$D$10,4,FALSE)</f>
        <v>7</v>
      </c>
      <c r="E9" s="463"/>
      <c r="F9" s="375"/>
      <c r="G9" s="376"/>
      <c r="H9" s="434">
        <f>SUM(I9:M9)</f>
        <v>2</v>
      </c>
      <c r="I9" s="436"/>
      <c r="J9" s="436"/>
      <c r="K9" s="436"/>
      <c r="L9" s="436"/>
      <c r="M9" s="437">
        <v>2</v>
      </c>
      <c r="N9" s="438"/>
    </row>
    <row r="10" spans="1:16" ht="23.45" customHeight="1">
      <c r="A10" s="467">
        <f t="shared" si="2"/>
        <v>7</v>
      </c>
      <c r="B10" s="468" t="s">
        <v>640</v>
      </c>
      <c r="C10" s="374" t="s">
        <v>639</v>
      </c>
      <c r="D10" s="373">
        <f>VLOOKUP("筋力",基本!$A$5:'基本'!$D$10,4,FALSE)</f>
        <v>8</v>
      </c>
      <c r="E10" s="463"/>
      <c r="F10" s="371"/>
      <c r="G10" s="371">
        <f>$C$4</f>
        <v>-1</v>
      </c>
      <c r="H10" s="440">
        <f t="shared" ref="H10:H25" si="3">SUM(I10:M10)</f>
        <v>0</v>
      </c>
      <c r="I10" s="441"/>
      <c r="J10" s="441"/>
      <c r="K10" s="441"/>
      <c r="L10" s="441"/>
      <c r="M10" s="442"/>
      <c r="N10" s="466" t="s">
        <v>775</v>
      </c>
    </row>
    <row r="11" spans="1:16" ht="23.45" customHeight="1">
      <c r="A11" s="432">
        <f t="shared" si="2"/>
        <v>7</v>
      </c>
      <c r="B11" s="439" t="s">
        <v>638</v>
      </c>
      <c r="C11" s="374" t="s">
        <v>624</v>
      </c>
      <c r="D11" s="373">
        <f>VLOOKUP("敏捷力",基本!$A$5:'基本'!$D$10,4,FALSE)</f>
        <v>9</v>
      </c>
      <c r="E11" s="463"/>
      <c r="F11" s="371"/>
      <c r="G11" s="371">
        <f>$C$4</f>
        <v>-1</v>
      </c>
      <c r="H11" s="440">
        <f t="shared" si="3"/>
        <v>-1</v>
      </c>
      <c r="I11" s="441">
        <v>-1</v>
      </c>
      <c r="J11" s="441"/>
      <c r="K11" s="441"/>
      <c r="L11" s="441"/>
      <c r="M11" s="442"/>
      <c r="N11" s="443"/>
    </row>
    <row r="12" spans="1:16" ht="23.45" customHeight="1">
      <c r="A12" s="432">
        <f t="shared" si="2"/>
        <v>9</v>
      </c>
      <c r="B12" s="439" t="s">
        <v>637</v>
      </c>
      <c r="C12" s="374" t="s">
        <v>624</v>
      </c>
      <c r="D12" s="373">
        <f>VLOOKUP("敏捷力",基本!$A$5:'基本'!$D$10,4,FALSE)</f>
        <v>9</v>
      </c>
      <c r="E12" s="463"/>
      <c r="F12" s="371"/>
      <c r="G12" s="371">
        <f>$C$4</f>
        <v>-1</v>
      </c>
      <c r="H12" s="440">
        <f t="shared" si="3"/>
        <v>1</v>
      </c>
      <c r="I12" s="441">
        <v>1</v>
      </c>
      <c r="J12" s="441"/>
      <c r="K12" s="441"/>
      <c r="L12" s="441"/>
      <c r="M12" s="442"/>
      <c r="N12" s="443"/>
    </row>
    <row r="13" spans="1:16" ht="23.45" customHeight="1">
      <c r="A13" s="444">
        <f t="shared" si="2"/>
        <v>24</v>
      </c>
      <c r="B13" s="439" t="s">
        <v>636</v>
      </c>
      <c r="C13" s="374" t="s">
        <v>626</v>
      </c>
      <c r="D13" s="373">
        <f>VLOOKUP("判断力",基本!$A$5:'基本'!$D$10,4,FALSE)</f>
        <v>15</v>
      </c>
      <c r="E13" s="464">
        <v>2</v>
      </c>
      <c r="F13" s="371">
        <v>5</v>
      </c>
      <c r="G13" s="372"/>
      <c r="H13" s="440">
        <f t="shared" si="3"/>
        <v>2</v>
      </c>
      <c r="I13" s="441"/>
      <c r="J13" s="441"/>
      <c r="K13" s="441"/>
      <c r="L13" s="441"/>
      <c r="M13" s="442">
        <v>2</v>
      </c>
      <c r="N13" s="443"/>
    </row>
    <row r="14" spans="1:16" ht="23.45" customHeight="1">
      <c r="A14" s="444">
        <f t="shared" si="2"/>
        <v>6</v>
      </c>
      <c r="B14" s="439" t="s">
        <v>635</v>
      </c>
      <c r="C14" s="374" t="s">
        <v>622</v>
      </c>
      <c r="D14" s="373">
        <f>VLOOKUP("魅力",基本!$A$5:'基本'!$D$10,4,FALSE)</f>
        <v>7</v>
      </c>
      <c r="E14" s="464">
        <v>1</v>
      </c>
      <c r="F14" s="371"/>
      <c r="G14" s="372"/>
      <c r="H14" s="440">
        <f t="shared" si="3"/>
        <v>-2</v>
      </c>
      <c r="I14" s="441"/>
      <c r="J14" s="441"/>
      <c r="K14" s="441"/>
      <c r="L14" s="441"/>
      <c r="M14" s="442">
        <v>-2</v>
      </c>
      <c r="N14" s="443"/>
    </row>
    <row r="15" spans="1:16" ht="23.45" customHeight="1">
      <c r="A15" s="432">
        <f t="shared" si="2"/>
        <v>19</v>
      </c>
      <c r="B15" s="439" t="s">
        <v>634</v>
      </c>
      <c r="C15" s="374" t="s">
        <v>633</v>
      </c>
      <c r="D15" s="373">
        <f>VLOOKUP("耐久力",基本!$A$5:'基本'!$D$10,4,FALSE)</f>
        <v>11</v>
      </c>
      <c r="E15" s="435"/>
      <c r="F15" s="371">
        <v>5</v>
      </c>
      <c r="G15" s="371">
        <f>$C$4</f>
        <v>-1</v>
      </c>
      <c r="H15" s="440">
        <f t="shared" si="3"/>
        <v>4</v>
      </c>
      <c r="I15" s="441">
        <v>4</v>
      </c>
      <c r="J15" s="441"/>
      <c r="K15" s="441"/>
      <c r="L15" s="441"/>
      <c r="M15" s="442"/>
      <c r="N15" s="443"/>
    </row>
    <row r="16" spans="1:16" ht="23.45" customHeight="1">
      <c r="A16" s="432">
        <f t="shared" si="2"/>
        <v>7</v>
      </c>
      <c r="B16" s="439" t="s">
        <v>632</v>
      </c>
      <c r="C16" s="374" t="s">
        <v>622</v>
      </c>
      <c r="D16" s="373">
        <f>VLOOKUP("魅力",基本!$A$5:'基本'!$D$10,4,FALSE)</f>
        <v>7</v>
      </c>
      <c r="E16" s="435"/>
      <c r="F16" s="371"/>
      <c r="G16" s="372"/>
      <c r="H16" s="440">
        <f t="shared" si="3"/>
        <v>0</v>
      </c>
      <c r="I16" s="441"/>
      <c r="J16" s="441"/>
      <c r="K16" s="441"/>
      <c r="L16" s="441"/>
      <c r="M16" s="442"/>
      <c r="N16" s="443"/>
    </row>
    <row r="17" spans="1:15" ht="23.45" customHeight="1">
      <c r="A17" s="432">
        <f t="shared" si="2"/>
        <v>15</v>
      </c>
      <c r="B17" s="439" t="s">
        <v>631</v>
      </c>
      <c r="C17" s="374" t="s">
        <v>626</v>
      </c>
      <c r="D17" s="373">
        <f>VLOOKUP("判断力",基本!$A$5:'基本'!$D$10,4,FALSE)</f>
        <v>15</v>
      </c>
      <c r="E17" s="435"/>
      <c r="F17" s="371"/>
      <c r="G17" s="372"/>
      <c r="H17" s="440">
        <f t="shared" si="3"/>
        <v>0</v>
      </c>
      <c r="I17" s="441"/>
      <c r="J17" s="441"/>
      <c r="K17" s="441"/>
      <c r="L17" s="441"/>
      <c r="M17" s="442"/>
      <c r="N17" s="443"/>
    </row>
    <row r="18" spans="1:15" ht="23.45" customHeight="1">
      <c r="A18" s="432">
        <f t="shared" si="2"/>
        <v>18</v>
      </c>
      <c r="B18" s="439" t="s">
        <v>630</v>
      </c>
      <c r="C18" s="374" t="s">
        <v>619</v>
      </c>
      <c r="D18" s="373">
        <f>VLOOKUP("知力",基本!$A$5:'基本'!$D$10,4,FALSE)</f>
        <v>11</v>
      </c>
      <c r="E18" s="435"/>
      <c r="F18" s="371">
        <v>5</v>
      </c>
      <c r="G18" s="372"/>
      <c r="H18" s="440">
        <f t="shared" si="3"/>
        <v>2</v>
      </c>
      <c r="I18" s="441"/>
      <c r="J18" s="441">
        <v>2</v>
      </c>
      <c r="K18" s="441"/>
      <c r="L18" s="441"/>
      <c r="M18" s="442"/>
      <c r="N18" s="443"/>
      <c r="O18" s="446"/>
    </row>
    <row r="19" spans="1:15" ht="23.45" customHeight="1">
      <c r="A19" s="444">
        <f t="shared" si="2"/>
        <v>17</v>
      </c>
      <c r="B19" s="439" t="s">
        <v>629</v>
      </c>
      <c r="C19" s="374" t="s">
        <v>626</v>
      </c>
      <c r="D19" s="373">
        <f>VLOOKUP("判断力",基本!$A$5:'基本'!$D$10,4,FALSE)</f>
        <v>15</v>
      </c>
      <c r="E19" s="445">
        <v>2</v>
      </c>
      <c r="F19" s="371"/>
      <c r="G19" s="372"/>
      <c r="H19" s="440">
        <f t="shared" si="3"/>
        <v>0</v>
      </c>
      <c r="I19" s="441"/>
      <c r="J19" s="441"/>
      <c r="K19" s="441"/>
      <c r="L19" s="441"/>
      <c r="M19" s="442"/>
      <c r="N19" s="443"/>
      <c r="O19" s="446"/>
    </row>
    <row r="20" spans="1:15" ht="23.45" customHeight="1">
      <c r="A20" s="432">
        <f t="shared" si="2"/>
        <v>15</v>
      </c>
      <c r="B20" s="439" t="s">
        <v>628</v>
      </c>
      <c r="C20" s="374" t="s">
        <v>626</v>
      </c>
      <c r="D20" s="373">
        <f>VLOOKUP("判断力",基本!$A$5:'基本'!$D$10,4,FALSE)</f>
        <v>15</v>
      </c>
      <c r="E20" s="435"/>
      <c r="F20" s="371"/>
      <c r="G20" s="372"/>
      <c r="H20" s="440">
        <f t="shared" si="3"/>
        <v>0</v>
      </c>
      <c r="I20" s="441"/>
      <c r="J20" s="441"/>
      <c r="K20" s="441"/>
      <c r="L20" s="441"/>
      <c r="M20" s="442"/>
      <c r="N20" s="443"/>
    </row>
    <row r="21" spans="1:15" ht="23.45" customHeight="1">
      <c r="A21" s="432">
        <f t="shared" si="2"/>
        <v>15</v>
      </c>
      <c r="B21" s="439" t="s">
        <v>627</v>
      </c>
      <c r="C21" s="374" t="s">
        <v>626</v>
      </c>
      <c r="D21" s="373">
        <f>VLOOKUP("判断力",基本!$A$5:'基本'!$D$10,4,FALSE)</f>
        <v>15</v>
      </c>
      <c r="E21" s="435"/>
      <c r="F21" s="371"/>
      <c r="G21" s="372"/>
      <c r="H21" s="440">
        <f t="shared" si="3"/>
        <v>0</v>
      </c>
      <c r="I21" s="441"/>
      <c r="J21" s="441"/>
      <c r="K21" s="441"/>
      <c r="L21" s="441"/>
      <c r="M21" s="442"/>
      <c r="N21" s="443"/>
    </row>
    <row r="22" spans="1:15" ht="23.45" customHeight="1">
      <c r="A22" s="432">
        <f t="shared" si="2"/>
        <v>8</v>
      </c>
      <c r="B22" s="439" t="s">
        <v>625</v>
      </c>
      <c r="C22" s="374" t="s">
        <v>624</v>
      </c>
      <c r="D22" s="373">
        <f>VLOOKUP("敏捷力",基本!$A$5:'基本'!$D$10,4,FALSE)</f>
        <v>9</v>
      </c>
      <c r="E22" s="435"/>
      <c r="F22" s="371"/>
      <c r="G22" s="371">
        <f>$C$4</f>
        <v>-1</v>
      </c>
      <c r="H22" s="440">
        <f t="shared" si="3"/>
        <v>0</v>
      </c>
      <c r="I22" s="441"/>
      <c r="J22" s="441"/>
      <c r="K22" s="441"/>
      <c r="L22" s="441"/>
      <c r="M22" s="442"/>
      <c r="N22" s="443"/>
    </row>
    <row r="23" spans="1:15" ht="23.45" customHeight="1">
      <c r="A23" s="432">
        <f t="shared" si="2"/>
        <v>5</v>
      </c>
      <c r="B23" s="439" t="s">
        <v>623</v>
      </c>
      <c r="C23" s="374" t="s">
        <v>622</v>
      </c>
      <c r="D23" s="373">
        <f>VLOOKUP("魅力",基本!$A$5:'基本'!$D$10,4,FALSE)</f>
        <v>7</v>
      </c>
      <c r="E23" s="435"/>
      <c r="F23" s="371"/>
      <c r="G23" s="372"/>
      <c r="H23" s="440">
        <f t="shared" si="3"/>
        <v>-2</v>
      </c>
      <c r="I23" s="441"/>
      <c r="J23" s="441"/>
      <c r="K23" s="441"/>
      <c r="L23" s="441"/>
      <c r="M23" s="442">
        <v>-2</v>
      </c>
      <c r="N23" s="443"/>
    </row>
    <row r="24" spans="1:15" ht="23.45" customHeight="1">
      <c r="A24" s="467">
        <f t="shared" si="2"/>
        <v>18</v>
      </c>
      <c r="B24" s="468" t="s">
        <v>621</v>
      </c>
      <c r="C24" s="374" t="s">
        <v>619</v>
      </c>
      <c r="D24" s="373">
        <f>VLOOKUP("知力",基本!$A$5:'基本'!$D$10,4,FALSE)</f>
        <v>11</v>
      </c>
      <c r="E24" s="435"/>
      <c r="F24" s="371">
        <v>5</v>
      </c>
      <c r="G24" s="372"/>
      <c r="H24" s="440">
        <f t="shared" si="3"/>
        <v>2</v>
      </c>
      <c r="I24" s="441"/>
      <c r="J24" s="441"/>
      <c r="K24" s="441"/>
      <c r="L24" s="441"/>
      <c r="M24" s="442">
        <v>2</v>
      </c>
      <c r="N24" s="465" t="s">
        <v>777</v>
      </c>
    </row>
    <row r="25" spans="1:15" ht="23.45" customHeight="1">
      <c r="A25" s="447">
        <f t="shared" si="2"/>
        <v>13</v>
      </c>
      <c r="B25" s="448" t="s">
        <v>620</v>
      </c>
      <c r="C25" s="370" t="s">
        <v>619</v>
      </c>
      <c r="D25" s="369">
        <f>VLOOKUP("知力",基本!$A$5:'基本'!$D$10,4,FALSE)</f>
        <v>11</v>
      </c>
      <c r="E25" s="449"/>
      <c r="F25" s="367"/>
      <c r="G25" s="368"/>
      <c r="H25" s="450">
        <f t="shared" si="3"/>
        <v>2</v>
      </c>
      <c r="I25" s="451"/>
      <c r="J25" s="451">
        <v>2</v>
      </c>
      <c r="K25" s="451"/>
      <c r="L25" s="451"/>
      <c r="M25" s="452"/>
      <c r="N25" s="453"/>
    </row>
    <row r="26" spans="1:15" s="287" customFormat="1" ht="13.5" customHeight="1">
      <c r="A26" s="382"/>
      <c r="E26" s="288"/>
      <c r="F26" s="288"/>
      <c r="G26" s="288"/>
      <c r="H26" s="288"/>
      <c r="I26" s="288"/>
    </row>
    <row r="27" spans="1:15" s="287" customFormat="1" ht="13.5" customHeight="1">
      <c r="A27" s="380" t="s">
        <v>778</v>
      </c>
      <c r="E27" s="288"/>
      <c r="F27" s="288"/>
      <c r="G27" s="288"/>
      <c r="H27" s="288"/>
      <c r="I27" s="288"/>
    </row>
    <row r="28" spans="1:15" s="287" customFormat="1" ht="13.5" customHeight="1">
      <c r="A28" s="381" t="s">
        <v>646</v>
      </c>
      <c r="E28" s="288"/>
      <c r="F28" s="288"/>
      <c r="G28" s="288"/>
      <c r="H28" s="288"/>
      <c r="I28" s="288"/>
    </row>
    <row r="29" spans="1:15" s="287" customFormat="1">
      <c r="A29" s="381" t="s">
        <v>776</v>
      </c>
      <c r="E29" s="288"/>
      <c r="F29" s="288"/>
      <c r="G29" s="288"/>
    </row>
    <row r="30" spans="1:15" s="287" customFormat="1">
      <c r="A30" s="383" t="s">
        <v>647</v>
      </c>
      <c r="E30" s="288"/>
      <c r="F30" s="288"/>
      <c r="G30" s="288"/>
    </row>
    <row r="31" spans="1:15" s="287" customFormat="1">
      <c r="A31" s="381" t="s">
        <v>648</v>
      </c>
      <c r="E31" s="288"/>
      <c r="F31" s="288"/>
      <c r="G31" s="288"/>
    </row>
    <row r="32" spans="1:15" s="287" customFormat="1" ht="13.5" customHeight="1">
      <c r="A32" s="382"/>
      <c r="E32" s="288"/>
      <c r="F32" s="288"/>
      <c r="G32" s="288"/>
      <c r="H32" s="288"/>
      <c r="I32" s="288"/>
    </row>
    <row r="33" spans="1:14" ht="24">
      <c r="A33" s="571" t="s">
        <v>773</v>
      </c>
      <c r="B33" s="571"/>
      <c r="C33" s="571"/>
      <c r="D33" s="571"/>
      <c r="E33" s="571"/>
      <c r="F33" s="571"/>
      <c r="G33" s="571"/>
      <c r="H33" s="571"/>
      <c r="I33" s="571"/>
      <c r="J33" s="571"/>
      <c r="K33" s="571"/>
      <c r="L33" s="571"/>
      <c r="M33" s="571"/>
      <c r="N33" s="571"/>
    </row>
    <row r="34" spans="1:14" ht="15" customHeight="1">
      <c r="A34" s="422"/>
      <c r="B34" s="422"/>
      <c r="C34" s="422"/>
      <c r="D34" s="422"/>
      <c r="E34" s="424"/>
      <c r="F34" s="424"/>
      <c r="G34" s="422"/>
      <c r="H34" s="422"/>
      <c r="I34" s="422"/>
      <c r="J34" s="422"/>
      <c r="K34" s="422"/>
      <c r="L34" s="422"/>
      <c r="M34" s="422"/>
      <c r="N34" s="422"/>
    </row>
    <row r="35" spans="1:14" ht="15" customHeight="1">
      <c r="A35" s="572" t="s">
        <v>618</v>
      </c>
      <c r="B35" s="572" t="s">
        <v>617</v>
      </c>
      <c r="C35" s="572" t="s">
        <v>616</v>
      </c>
      <c r="D35" s="572"/>
      <c r="E35" s="573" t="s">
        <v>615</v>
      </c>
      <c r="F35" s="573"/>
      <c r="G35" s="574" t="s">
        <v>642</v>
      </c>
      <c r="H35" s="575"/>
      <c r="I35" s="575"/>
      <c r="J35" s="575"/>
      <c r="K35" s="575"/>
      <c r="L35" s="575"/>
      <c r="M35" s="576"/>
      <c r="N35" s="577" t="s">
        <v>769</v>
      </c>
    </row>
    <row r="36" spans="1:14" ht="13.5" customHeight="1">
      <c r="A36" s="572"/>
      <c r="B36" s="572"/>
      <c r="C36" s="572"/>
      <c r="D36" s="572"/>
      <c r="E36" s="573"/>
      <c r="F36" s="573"/>
      <c r="G36" s="455" t="s">
        <v>770</v>
      </c>
      <c r="H36" s="579" t="s">
        <v>463</v>
      </c>
      <c r="I36" s="580"/>
      <c r="J36" s="581" t="s">
        <v>83</v>
      </c>
      <c r="K36" s="580"/>
      <c r="L36" s="581" t="s">
        <v>772</v>
      </c>
      <c r="M36" s="582"/>
      <c r="N36" s="578"/>
    </row>
    <row r="37" spans="1:14" ht="30" customHeight="1">
      <c r="A37" s="444">
        <f>SUM(C37:G37)</f>
        <v>34</v>
      </c>
      <c r="B37" s="456" t="s">
        <v>614</v>
      </c>
      <c r="C37" s="553">
        <f>$A$13</f>
        <v>24</v>
      </c>
      <c r="D37" s="554"/>
      <c r="E37" s="555">
        <v>10</v>
      </c>
      <c r="F37" s="556"/>
      <c r="G37" s="457">
        <f>SUM(H37:M37)</f>
        <v>0</v>
      </c>
      <c r="H37" s="557"/>
      <c r="I37" s="558"/>
      <c r="J37" s="559"/>
      <c r="K37" s="560"/>
      <c r="L37" s="559"/>
      <c r="M37" s="561"/>
      <c r="N37" s="458"/>
    </row>
    <row r="38" spans="1:14" ht="27.75" customHeight="1">
      <c r="A38" s="459">
        <f>SUM(C38:G38)</f>
        <v>27</v>
      </c>
      <c r="B38" s="460" t="s">
        <v>613</v>
      </c>
      <c r="C38" s="562">
        <f>$A$19</f>
        <v>17</v>
      </c>
      <c r="D38" s="563"/>
      <c r="E38" s="564">
        <v>10</v>
      </c>
      <c r="F38" s="565"/>
      <c r="G38" s="461">
        <f>SUM(H38:M38)</f>
        <v>0</v>
      </c>
      <c r="H38" s="566"/>
      <c r="I38" s="567"/>
      <c r="J38" s="568"/>
      <c r="K38" s="569"/>
      <c r="L38" s="568"/>
      <c r="M38" s="570"/>
      <c r="N38" s="462"/>
    </row>
    <row r="39" spans="1:14">
      <c r="E39" s="454"/>
      <c r="H39" s="421"/>
      <c r="I39" s="421"/>
      <c r="J39" s="421"/>
      <c r="K39" s="421"/>
      <c r="L39" s="421"/>
      <c r="M39" s="421"/>
    </row>
    <row r="40" spans="1:14" ht="13.5" customHeight="1"/>
    <row r="41" spans="1:14" ht="13.5" customHeight="1"/>
    <row r="42" spans="1:14">
      <c r="E42" s="454"/>
      <c r="H42" s="421"/>
      <c r="I42" s="421"/>
      <c r="J42" s="421"/>
      <c r="K42" s="421"/>
      <c r="L42" s="421"/>
      <c r="M42" s="421"/>
    </row>
    <row r="43" spans="1:14" ht="13.5" customHeight="1"/>
    <row r="44" spans="1:14" ht="13.5" customHeight="1"/>
    <row r="45" spans="1:14">
      <c r="E45" s="454"/>
      <c r="H45" s="421"/>
      <c r="I45" s="421"/>
      <c r="J45" s="421"/>
      <c r="K45" s="421"/>
      <c r="L45" s="421"/>
      <c r="M45" s="421"/>
    </row>
    <row r="46" spans="1:14" ht="13.5" customHeight="1"/>
    <row r="47" spans="1:14" ht="13.5" customHeight="1"/>
    <row r="50" spans="1:6" s="425" customFormat="1" ht="13.5" customHeight="1">
      <c r="A50" s="421"/>
      <c r="B50" s="421"/>
      <c r="C50" s="421"/>
      <c r="D50" s="421"/>
      <c r="E50" s="423"/>
      <c r="F50" s="423"/>
    </row>
    <row r="51" spans="1:6" s="425" customFormat="1" ht="13.5" customHeight="1">
      <c r="A51" s="421"/>
      <c r="B51" s="421"/>
      <c r="C51" s="421"/>
      <c r="D51" s="421"/>
      <c r="E51" s="423"/>
      <c r="F51" s="423"/>
    </row>
    <row r="52" spans="1:6" s="425" customFormat="1" ht="13.5" customHeight="1">
      <c r="A52" s="421"/>
      <c r="B52" s="421"/>
      <c r="C52" s="421"/>
      <c r="D52" s="421"/>
      <c r="E52" s="423"/>
      <c r="F52" s="423"/>
    </row>
    <row r="53" spans="1:6" s="425" customFormat="1" ht="13.5" customHeight="1">
      <c r="A53" s="421"/>
      <c r="B53" s="421"/>
      <c r="C53" s="421"/>
      <c r="D53" s="421"/>
      <c r="E53" s="423"/>
      <c r="F53" s="423"/>
    </row>
    <row r="54" spans="1:6" s="425" customFormat="1" ht="13.5" customHeight="1">
      <c r="A54" s="421"/>
      <c r="B54" s="421"/>
      <c r="C54" s="421"/>
      <c r="D54" s="421"/>
      <c r="E54" s="423"/>
      <c r="F54" s="423"/>
    </row>
    <row r="55" spans="1:6" s="425" customFormat="1" ht="13.5" customHeight="1">
      <c r="A55" s="421"/>
      <c r="B55" s="421"/>
      <c r="C55" s="421"/>
      <c r="D55" s="421"/>
      <c r="E55" s="423"/>
      <c r="F55" s="423"/>
    </row>
    <row r="56" spans="1:6" s="425" customFormat="1" ht="13.5" customHeight="1">
      <c r="A56" s="421"/>
      <c r="B56" s="421"/>
      <c r="C56" s="421"/>
      <c r="D56" s="421"/>
      <c r="E56" s="423"/>
      <c r="F56" s="423"/>
    </row>
    <row r="57" spans="1:6" s="425" customFormat="1" ht="13.5" customHeight="1">
      <c r="A57" s="421"/>
      <c r="B57" s="421"/>
      <c r="C57" s="421"/>
      <c r="D57" s="421"/>
      <c r="E57" s="423"/>
      <c r="F57" s="423"/>
    </row>
    <row r="58" spans="1:6" s="425" customFormat="1" ht="13.5" customHeight="1">
      <c r="A58" s="421"/>
      <c r="B58" s="421"/>
      <c r="C58" s="421"/>
      <c r="D58" s="421"/>
      <c r="E58" s="423"/>
      <c r="F58" s="423"/>
    </row>
    <row r="59" spans="1:6" s="425" customFormat="1" ht="13.5" customHeight="1">
      <c r="A59" s="421"/>
      <c r="B59" s="421"/>
      <c r="C59" s="421"/>
      <c r="D59" s="421"/>
      <c r="E59" s="423"/>
      <c r="F59" s="423"/>
    </row>
    <row r="60" spans="1:6" s="425" customFormat="1" ht="13.5" customHeight="1">
      <c r="A60" s="421"/>
      <c r="B60" s="421"/>
      <c r="C60" s="421"/>
      <c r="D60" s="421"/>
      <c r="E60" s="423"/>
      <c r="F60" s="423"/>
    </row>
    <row r="61" spans="1:6" s="425" customFormat="1" ht="13.5" customHeight="1">
      <c r="A61" s="421"/>
      <c r="B61" s="421"/>
      <c r="C61" s="421"/>
      <c r="D61" s="421"/>
      <c r="E61" s="423"/>
      <c r="F61" s="423"/>
    </row>
    <row r="62" spans="1:6" s="425" customFormat="1" ht="13.5" customHeight="1">
      <c r="A62" s="421"/>
      <c r="B62" s="421"/>
      <c r="C62" s="421"/>
      <c r="D62" s="421"/>
      <c r="E62" s="423"/>
      <c r="F62" s="423"/>
    </row>
    <row r="63" spans="1:6" s="425" customFormat="1" ht="13.5" customHeight="1">
      <c r="A63" s="421"/>
      <c r="B63" s="421"/>
      <c r="C63" s="421"/>
      <c r="D63" s="421"/>
      <c r="E63" s="423"/>
      <c r="F63" s="423"/>
    </row>
    <row r="64" spans="1:6" s="425" customFormat="1" ht="13.5" customHeight="1">
      <c r="A64" s="421"/>
      <c r="B64" s="421"/>
      <c r="C64" s="421"/>
      <c r="D64" s="421"/>
      <c r="E64" s="423"/>
      <c r="F64" s="423"/>
    </row>
    <row r="65" spans="1:6" s="425" customFormat="1" ht="13.5" customHeight="1">
      <c r="A65" s="421"/>
      <c r="B65" s="421"/>
      <c r="C65" s="421"/>
      <c r="D65" s="421"/>
      <c r="E65" s="423"/>
      <c r="F65" s="423"/>
    </row>
    <row r="66" spans="1:6" s="425" customFormat="1" ht="13.5" customHeight="1">
      <c r="A66" s="421"/>
      <c r="B66" s="421"/>
      <c r="C66" s="421"/>
      <c r="D66" s="421"/>
      <c r="E66" s="423"/>
      <c r="F66" s="423"/>
    </row>
    <row r="67" spans="1:6" s="425" customFormat="1" ht="13.5" customHeight="1">
      <c r="A67" s="421"/>
      <c r="B67" s="421"/>
      <c r="C67" s="421"/>
      <c r="D67" s="421"/>
      <c r="E67" s="423"/>
      <c r="F67" s="423"/>
    </row>
    <row r="68" spans="1:6" s="425" customFormat="1">
      <c r="A68" s="421"/>
      <c r="B68" s="421"/>
      <c r="C68" s="421"/>
      <c r="D68" s="421"/>
      <c r="E68" s="423"/>
      <c r="F68" s="423"/>
    </row>
  </sheetData>
  <mergeCells count="29">
    <mergeCell ref="A2:N2"/>
    <mergeCell ref="A6:A7"/>
    <mergeCell ref="B6:B7"/>
    <mergeCell ref="C6:D7"/>
    <mergeCell ref="E6:E7"/>
    <mergeCell ref="F6:F7"/>
    <mergeCell ref="G6:G7"/>
    <mergeCell ref="H6:M6"/>
    <mergeCell ref="N6:N7"/>
    <mergeCell ref="A33:N33"/>
    <mergeCell ref="A35:A36"/>
    <mergeCell ref="B35:B36"/>
    <mergeCell ref="C35:D36"/>
    <mergeCell ref="E35:F36"/>
    <mergeCell ref="G35:M35"/>
    <mergeCell ref="N35:N36"/>
    <mergeCell ref="H36:I36"/>
    <mergeCell ref="J36:K36"/>
    <mergeCell ref="L36:M36"/>
    <mergeCell ref="C38:D38"/>
    <mergeCell ref="E38:F38"/>
    <mergeCell ref="H38:I38"/>
    <mergeCell ref="J38:K38"/>
    <mergeCell ref="L38:M38"/>
    <mergeCell ref="C37:D37"/>
    <mergeCell ref="E37:F37"/>
    <mergeCell ref="H37:I37"/>
    <mergeCell ref="J37:K37"/>
    <mergeCell ref="L37:M37"/>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
&amp;R&amp;D</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S53"/>
  <sheetViews>
    <sheetView zoomScaleNormal="100" workbookViewId="0">
      <selection activeCell="B2" sqref="B2:G2"/>
    </sheetView>
  </sheetViews>
  <sheetFormatPr defaultRowHeight="13.5"/>
  <cols>
    <col min="1" max="1" width="7.875" style="78" customWidth="1"/>
    <col min="2" max="2" width="8.5" style="78" customWidth="1"/>
    <col min="3" max="3" width="6.625" style="78" customWidth="1"/>
    <col min="4" max="4" width="15.75" style="78" customWidth="1"/>
    <col min="5" max="6" width="15.75" style="27" customWidth="1"/>
    <col min="7" max="7" width="18.25" style="27" customWidth="1"/>
    <col min="8" max="8" width="17.375" style="27" customWidth="1"/>
    <col min="9" max="9" width="14.625" style="27" customWidth="1"/>
    <col min="10" max="10" width="8.375" style="27" customWidth="1"/>
    <col min="11" max="11" width="7.5" style="27" customWidth="1"/>
    <col min="12" max="12" width="7.875" style="78" customWidth="1"/>
    <col min="13" max="13" width="7.875" style="133" customWidth="1"/>
    <col min="14" max="14" width="17.875" style="78" bestFit="1" customWidth="1"/>
    <col min="15" max="15" width="12.375" style="78" customWidth="1"/>
    <col min="16" max="16384" width="9" style="78"/>
  </cols>
  <sheetData>
    <row r="1" spans="1:19" ht="21">
      <c r="A1" s="10"/>
      <c r="B1" s="640"/>
      <c r="C1" s="641"/>
      <c r="D1" s="12" t="s">
        <v>39</v>
      </c>
      <c r="E1" s="11" t="s">
        <v>40</v>
      </c>
      <c r="F1" s="625"/>
      <c r="G1" s="626"/>
      <c r="H1" s="31" t="s">
        <v>54</v>
      </c>
    </row>
    <row r="2" spans="1:19" ht="24.75" customHeight="1">
      <c r="A2" s="12" t="s">
        <v>0</v>
      </c>
      <c r="B2" s="627" t="s">
        <v>99</v>
      </c>
      <c r="C2" s="627"/>
      <c r="D2" s="627"/>
      <c r="E2" s="627"/>
      <c r="F2" s="627"/>
      <c r="G2" s="627"/>
      <c r="H2" s="31" t="s">
        <v>55</v>
      </c>
    </row>
    <row r="3" spans="1:19" ht="19.5" customHeight="1">
      <c r="A3" s="30" t="s">
        <v>47</v>
      </c>
      <c r="B3" s="27"/>
      <c r="C3" s="27"/>
      <c r="D3" s="27"/>
      <c r="I3" s="31"/>
    </row>
    <row r="4" spans="1:19">
      <c r="A4" s="72" t="s">
        <v>45</v>
      </c>
      <c r="B4" s="628"/>
      <c r="C4" s="629"/>
      <c r="D4" s="629"/>
      <c r="E4" s="629"/>
      <c r="F4" s="629"/>
      <c r="G4" s="630"/>
      <c r="H4" s="539" t="s">
        <v>980</v>
      </c>
      <c r="I4" s="540"/>
      <c r="J4" s="540"/>
      <c r="K4" s="540"/>
      <c r="L4" s="540"/>
      <c r="M4" s="541"/>
      <c r="N4" s="539" t="s">
        <v>980</v>
      </c>
      <c r="O4" s="540"/>
      <c r="P4" s="540"/>
      <c r="Q4" s="540"/>
      <c r="R4" s="540"/>
      <c r="S4" s="541"/>
    </row>
    <row r="5" spans="1:19">
      <c r="A5" s="73" t="s">
        <v>38</v>
      </c>
      <c r="B5" s="628"/>
      <c r="C5" s="629"/>
      <c r="D5" s="629"/>
      <c r="E5" s="629"/>
      <c r="F5" s="629"/>
      <c r="G5" s="630"/>
      <c r="H5" s="80" t="s">
        <v>42</v>
      </c>
      <c r="I5" s="82" t="s">
        <v>68</v>
      </c>
      <c r="J5" s="82" t="s">
        <v>97</v>
      </c>
      <c r="N5" s="205" t="s">
        <v>42</v>
      </c>
      <c r="O5" s="207" t="s">
        <v>68</v>
      </c>
      <c r="P5" s="207" t="s">
        <v>318</v>
      </c>
      <c r="Q5" s="88"/>
      <c r="R5" s="133"/>
    </row>
    <row r="6" spans="1:19">
      <c r="A6" s="73" t="s">
        <v>7</v>
      </c>
      <c r="B6" s="628" t="s">
        <v>5</v>
      </c>
      <c r="C6" s="629"/>
      <c r="D6" s="630"/>
      <c r="E6" s="80" t="s">
        <v>42</v>
      </c>
      <c r="F6" s="81" t="str">
        <f>$I$5</f>
        <v>近接</v>
      </c>
      <c r="G6" s="81" t="str">
        <f>IF($J$5 = 0,"", $J$5)</f>
        <v>武器</v>
      </c>
      <c r="H6" s="80" t="s">
        <v>65</v>
      </c>
      <c r="I6" s="82"/>
      <c r="J6" s="82"/>
      <c r="N6" s="205" t="s">
        <v>65</v>
      </c>
      <c r="O6" s="207"/>
      <c r="P6" s="207"/>
      <c r="Q6" s="88"/>
      <c r="R6" s="133"/>
    </row>
    <row r="7" spans="1:19">
      <c r="A7" s="74" t="s">
        <v>6</v>
      </c>
      <c r="B7" s="628" t="s">
        <v>90</v>
      </c>
      <c r="C7" s="629"/>
      <c r="D7" s="630"/>
      <c r="E7" s="80" t="s">
        <v>65</v>
      </c>
      <c r="F7" s="81" t="str">
        <f>IF($I$6 = 0,"", $I$6)</f>
        <v/>
      </c>
      <c r="G7" s="81" t="str">
        <f>IF($J$6 = 0,"", $J$6)</f>
        <v/>
      </c>
      <c r="H7" s="80" t="s">
        <v>84</v>
      </c>
      <c r="I7" s="207" t="s">
        <v>319</v>
      </c>
      <c r="J7" s="31" t="s">
        <v>61</v>
      </c>
      <c r="L7" s="230" t="s">
        <v>343</v>
      </c>
      <c r="N7" s="205" t="s">
        <v>84</v>
      </c>
      <c r="O7" s="220" t="s">
        <v>334</v>
      </c>
      <c r="P7" s="93" t="s">
        <v>61</v>
      </c>
      <c r="Q7" s="88"/>
      <c r="R7" s="230" t="s">
        <v>343</v>
      </c>
    </row>
    <row r="8" spans="1:19">
      <c r="A8" s="74" t="s">
        <v>8</v>
      </c>
      <c r="B8" s="628" t="s">
        <v>101</v>
      </c>
      <c r="C8" s="629"/>
      <c r="D8" s="629"/>
      <c r="E8" s="629"/>
      <c r="F8" s="629"/>
      <c r="G8" s="630"/>
      <c r="H8" s="80" t="s">
        <v>50</v>
      </c>
      <c r="I8" s="82" t="s">
        <v>12</v>
      </c>
      <c r="J8" s="81">
        <f>IF($I$8 = "筋力",基本!$C$5,IF($I$8 = "耐久力",基本!$C$6,IF($I$8 = "敏捷力",基本!$C$7,IF($I$8 = "知力",基本!$C$8,IF($I$8 = "判断力",基本!$C$9,IF($I$8 = "魅力",基本!$C$10,""))))))</f>
        <v>0</v>
      </c>
      <c r="K8" s="82" t="s">
        <v>89</v>
      </c>
      <c r="L8" s="229">
        <f>$J$8+$L$9+$I$9</f>
        <v>16</v>
      </c>
      <c r="N8" s="205" t="s">
        <v>50</v>
      </c>
      <c r="O8" s="207" t="s">
        <v>12</v>
      </c>
      <c r="P8" s="206">
        <f>IF($I$8 = "筋力",基本!$C$5,IF($I$8 = "耐久力",基本!$C$6,IF($I$8 = "敏捷力",基本!$C$7,IF($I$8 = "知力",基本!$C$8,IF($I$8 = "判断力",基本!$C$9,IF($I$8 = "魅力",基本!$C$10,""))))))</f>
        <v>0</v>
      </c>
      <c r="Q8" s="207" t="s">
        <v>89</v>
      </c>
      <c r="R8" s="229">
        <f>$P$8+$O$9+$R$9</f>
        <v>8</v>
      </c>
    </row>
    <row r="9" spans="1:19" ht="13.5" customHeight="1">
      <c r="A9" s="75" t="s">
        <v>9</v>
      </c>
      <c r="B9" s="642" t="s">
        <v>100</v>
      </c>
      <c r="C9" s="643"/>
      <c r="D9" s="643"/>
      <c r="E9" s="643"/>
      <c r="F9" s="643"/>
      <c r="G9" s="644"/>
      <c r="H9" s="80" t="s">
        <v>57</v>
      </c>
      <c r="I9" s="82">
        <v>0</v>
      </c>
      <c r="J9" s="539" t="s">
        <v>52</v>
      </c>
      <c r="K9" s="541"/>
      <c r="L9" s="81">
        <f>IF($I$7=基本!$F$4,基本!$O$7,IF($I$7=基本!$F$13,基本!$O$16,IF($I$7=基本!$F$22,基本!$O$25,IF($I$7=基本!$F$31,基本!$O$34,IF($I$7=基本!$F$40,基本!$O$43,0)))))</f>
        <v>16</v>
      </c>
      <c r="N9" s="205" t="s">
        <v>57</v>
      </c>
      <c r="O9" s="207">
        <v>0</v>
      </c>
      <c r="P9" s="539" t="s">
        <v>52</v>
      </c>
      <c r="Q9" s="541"/>
      <c r="R9" s="206">
        <f>IF($O$7=基本!$F$4,基本!$O$7,IF($O$7=基本!$F$13,基本!$O$16,IF($O$7=基本!$F$22,基本!$O$25,IF($O$7=基本!$F$31,基本!$O$34,IF($O$7=基本!$F$40,基本!$O$43,0)))))</f>
        <v>8</v>
      </c>
    </row>
    <row r="10" spans="1:19" ht="0.75" customHeight="1">
      <c r="A10" s="76"/>
      <c r="B10" s="608"/>
      <c r="C10" s="609"/>
      <c r="D10" s="609"/>
      <c r="E10" s="609"/>
      <c r="F10" s="609"/>
      <c r="G10" s="610"/>
      <c r="H10" s="33" t="s">
        <v>51</v>
      </c>
      <c r="I10" s="82" t="s">
        <v>12</v>
      </c>
      <c r="J10" s="35">
        <f>IF($I$10 = "筋力",基本!$C$5,IF($I$10 = "耐久力",基本!$C$6,IF($I$10 = "敏捷力",基本!$C$7,IF($I$10 = "知力",基本!$C$8,IF($I$10 = "判断力",基本!$C$9,IF($I$10 = "魅力",基本!$C$10,""))))))</f>
        <v>0</v>
      </c>
      <c r="K10" s="501" t="s">
        <v>15</v>
      </c>
      <c r="L10" s="500">
        <f>IF(K10="",0,VLOOKUP(K10,基本!$A$5:'基本'!$C$10,3,FALSE))</f>
        <v>3</v>
      </c>
      <c r="N10" s="203" t="s">
        <v>51</v>
      </c>
      <c r="O10" s="207" t="s">
        <v>12</v>
      </c>
      <c r="P10" s="97">
        <f>IF($I$10 = "筋力",基本!$C$5,IF($I$10 = "耐久力",基本!$C$6,IF($I$10 = "敏捷力",基本!$C$7,IF($I$10 = "知力",基本!$C$8,IF($I$10 = "判断力",基本!$C$9,IF($I$10 = "魅力",基本!$C$10,""))))))</f>
        <v>0</v>
      </c>
      <c r="Q10" s="88"/>
      <c r="R10" s="88"/>
    </row>
    <row r="11" spans="1:19" ht="0.75" customHeight="1">
      <c r="A11" s="76"/>
      <c r="B11" s="601"/>
      <c r="C11" s="523"/>
      <c r="D11" s="523"/>
      <c r="E11" s="523"/>
      <c r="F11" s="523"/>
      <c r="G11" s="602"/>
      <c r="H11" s="80" t="s">
        <v>58</v>
      </c>
      <c r="I11" s="82">
        <v>0</v>
      </c>
      <c r="J11" s="539" t="s">
        <v>53</v>
      </c>
      <c r="K11" s="541"/>
      <c r="L11" s="81">
        <f>IF($I$7=基本!$F$4,基本!$O$9,IF($I$7=基本!$F$13,基本!$O$18,IF($I$7=基本!$F$22,基本!$O$27,IF($I$7=基本!$F$31,基本!$O$36,IF($I$7=基本!$F$40,基本!$O$45,0)))))</f>
        <v>4</v>
      </c>
      <c r="N11" s="205" t="s">
        <v>58</v>
      </c>
      <c r="O11" s="207">
        <v>0</v>
      </c>
      <c r="P11" s="539" t="s">
        <v>53</v>
      </c>
      <c r="Q11" s="541"/>
      <c r="R11" s="206">
        <f>IF($O$7=基本!$F$4,基本!$O$9,IF($O$7=基本!$F$13,基本!$O$18,IF($O$7=基本!$F$22,基本!$O$27,IF($O$7=基本!$F$31,基本!$O$36,IF($O$7=基本!$F$40,基本!$O$45,0)))))</f>
        <v>0</v>
      </c>
    </row>
    <row r="12" spans="1:19" ht="0.75" customHeight="1">
      <c r="A12" s="76"/>
      <c r="B12" s="601"/>
      <c r="C12" s="523"/>
      <c r="D12" s="523"/>
      <c r="E12" s="523"/>
      <c r="F12" s="523"/>
      <c r="G12" s="602"/>
      <c r="H12" s="222" t="s">
        <v>340</v>
      </c>
      <c r="I12" s="220">
        <v>1</v>
      </c>
      <c r="J12" s="88"/>
      <c r="K12" s="88"/>
      <c r="L12" s="230" t="s">
        <v>343</v>
      </c>
      <c r="M12" s="506" t="s">
        <v>59</v>
      </c>
      <c r="N12" s="222" t="s">
        <v>340</v>
      </c>
      <c r="O12" s="220">
        <v>1</v>
      </c>
      <c r="P12" s="133"/>
      <c r="Q12" s="133"/>
      <c r="R12" s="230" t="s">
        <v>343</v>
      </c>
      <c r="S12" s="506" t="s">
        <v>59</v>
      </c>
    </row>
    <row r="13" spans="1:19" ht="0.75" customHeight="1">
      <c r="A13" s="76"/>
      <c r="B13" s="601"/>
      <c r="C13" s="523"/>
      <c r="D13" s="523"/>
      <c r="E13" s="523"/>
      <c r="F13" s="523"/>
      <c r="G13" s="602"/>
      <c r="H13" s="34" t="s">
        <v>85</v>
      </c>
      <c r="I13" s="32">
        <f>IF($I$7=基本!$F$4,基本!$F$9,IF($I$7=基本!$F$13,基本!$F$18,IF($I$7=基本!$F$22,基本!$F$27,IF($I$7=基本!$F$31,基本!$F$36,IF($I$7=基本!$F$40,基本!$F$45,0)))))*$I$12</f>
        <v>1</v>
      </c>
      <c r="J13" s="219" t="s">
        <v>341</v>
      </c>
      <c r="K13" s="32">
        <f>IF($I$7=基本!$F$4,基本!$H$9,IF($I$7=基本!$F$13,基本!$H$18,IF($I$7=基本!$F$22,基本!$H$27,IF($I$7=基本!$F$31,基本!$H$36,IF($I$7=基本!$F$40,基本!$H$45,0)))))</f>
        <v>8</v>
      </c>
      <c r="L13" s="229">
        <f>J10+IF(I12=0,0,L11)+I11</f>
        <v>4</v>
      </c>
      <c r="M13" s="501"/>
      <c r="N13" s="204" t="s">
        <v>85</v>
      </c>
      <c r="O13" s="32">
        <f>IF($O$7=基本!$F$4,基本!$F$9,IF($O$7=基本!$F$13,基本!$F$18,IF($O$7=基本!$F$22,基本!$F$27,IF($O$7=基本!$F$31,基本!$F$36,IF($O$7=基本!$F$40,基本!$F$45,0)))))*$O$12</f>
        <v>1</v>
      </c>
      <c r="P13" s="219" t="s">
        <v>341</v>
      </c>
      <c r="Q13" s="32">
        <f>IF($O$7=基本!$F$4,基本!$H$9,IF($O$7=基本!$F$13,基本!$H$18,IF($O$7=基本!$F$22,基本!$H$27,IF($O$7=基本!$F$31,基本!$H$36,IF($O$7=基本!$F$40,基本!$H$45,0)))))</f>
        <v>4</v>
      </c>
      <c r="R13" s="229">
        <f>P10+IF(O12=0,0,R11)+O11</f>
        <v>0</v>
      </c>
      <c r="S13" s="503"/>
    </row>
    <row r="14" spans="1:19" ht="1.5" customHeight="1">
      <c r="A14" s="76"/>
      <c r="B14" s="608"/>
      <c r="C14" s="609"/>
      <c r="D14" s="609"/>
      <c r="E14" s="609"/>
      <c r="F14" s="609"/>
      <c r="G14" s="610"/>
      <c r="H14" s="80" t="s">
        <v>49</v>
      </c>
      <c r="I14" s="32">
        <f>IF($I$7=基本!$F$4,基本!$L$11,IF($I$7=基本!$F$13,基本!$L$20,IF($I$7=基本!$F$22,基本!$L$29,IF($I$7=基本!$F$31,基本!$L$38,IF($I$7=基本!$F$40,基本!$L$47,0)))))</f>
        <v>5</v>
      </c>
      <c r="J14" s="219" t="s">
        <v>341</v>
      </c>
      <c r="K14" s="32">
        <f>IF($I$7=基本!$F$4,基本!$N$11,IF($I$7=基本!$F$13,基本!$N$20,IF($I$7=基本!$F$22,基本!$N$29,IF($I$7=基本!$F$31,基本!$N$38,IF($I$7=基本!$F$40,基本!$N$47,0)))))</f>
        <v>12</v>
      </c>
      <c r="L14" s="229">
        <f>L13+(I13*K13)</f>
        <v>12</v>
      </c>
      <c r="M14" s="501"/>
      <c r="N14" s="205" t="s">
        <v>49</v>
      </c>
      <c r="O14" s="32">
        <f>IF($O$7=基本!$F$4,基本!$L$11,IF($O$7=基本!$F$13,基本!$L$20,IF($O$7=基本!$F$22,基本!$L$29,IF($O$7=基本!$F$31,基本!$L$38,IF($O$7=基本!$F$40,基本!$L$47,0)))))</f>
        <v>3</v>
      </c>
      <c r="P14" s="219" t="s">
        <v>341</v>
      </c>
      <c r="Q14" s="32">
        <f>IF($O$7=基本!$F$4,基本!$N$11,IF($O$7=基本!$F$13,基本!$N$20,IF($O$7=基本!$F$22,基本!$N$29,IF($O$7=基本!$F$31,基本!$N$38,IF($O$7=基本!$F$40,基本!$N$47,0)))))</f>
        <v>6</v>
      </c>
      <c r="R14" s="229">
        <f>R13+(O13*Q13)</f>
        <v>4</v>
      </c>
      <c r="S14" s="503"/>
    </row>
    <row r="15" spans="1:19" ht="0.75" customHeight="1">
      <c r="A15" s="77"/>
      <c r="B15" s="603"/>
      <c r="C15" s="604"/>
      <c r="D15" s="604"/>
      <c r="E15" s="604"/>
      <c r="F15" s="604"/>
      <c r="G15" s="605"/>
      <c r="H15" s="505" t="s">
        <v>982</v>
      </c>
      <c r="I15" s="245">
        <f>I14+2</f>
        <v>7</v>
      </c>
      <c r="J15" s="505" t="s">
        <v>43</v>
      </c>
      <c r="K15" s="245">
        <f>IF($I$7=基本!$F$4,基本!$N$11,IF($I$7=基本!$F$13,基本!$N$20,IF($I$7=基本!$F$22,基本!$N$29,IF($I$7=基本!$F$31,基本!$N$38,IF($I$7=基本!$F$40,基本!$N$47,0)))))</f>
        <v>12</v>
      </c>
      <c r="L15" s="229">
        <f>L14</f>
        <v>12</v>
      </c>
      <c r="M15" s="515">
        <f>L15+(I15*K15)</f>
        <v>96</v>
      </c>
      <c r="N15" s="505" t="s">
        <v>982</v>
      </c>
      <c r="O15" s="245">
        <f>O14+2</f>
        <v>5</v>
      </c>
      <c r="P15" s="505" t="s">
        <v>43</v>
      </c>
      <c r="Q15" s="245">
        <f>IF($O$7=基本!$F$4,基本!$N$11,IF($O$7=基本!$F$13,基本!$N$20,IF($O$7=基本!$F$22,基本!$N$29,IF($O$7=基本!$F$31,基本!$N$38,IF($O$7=基本!$F$40,基本!$N$47,0)))))</f>
        <v>6</v>
      </c>
      <c r="R15" s="229">
        <f>R14</f>
        <v>4</v>
      </c>
      <c r="S15" s="515">
        <f>R15+(O15*Q15)</f>
        <v>34</v>
      </c>
    </row>
    <row r="16" spans="1:19" ht="14.25" thickBot="1">
      <c r="A16" s="79" t="s">
        <v>46</v>
      </c>
      <c r="E16" s="3"/>
      <c r="L16"/>
    </row>
    <row r="17" spans="1:11" ht="18.75" customHeight="1" thickBot="1">
      <c r="A17" s="606" t="s">
        <v>316</v>
      </c>
      <c r="B17" s="607"/>
      <c r="C17" s="607"/>
      <c r="D17" s="70" t="s">
        <v>2</v>
      </c>
      <c r="E17" s="55" t="s">
        <v>109</v>
      </c>
      <c r="F17" s="71" t="s">
        <v>102</v>
      </c>
      <c r="G17" s="60" t="s">
        <v>70</v>
      </c>
    </row>
    <row r="18" spans="1:11" s="287" customFormat="1" ht="23.25" customHeight="1">
      <c r="A18" s="611" t="s">
        <v>41</v>
      </c>
      <c r="B18" s="69" t="s">
        <v>113</v>
      </c>
      <c r="C18" s="637" t="str">
        <f>$K$8</f>
        <v>AC</v>
      </c>
      <c r="D18" s="67" t="str">
        <f>$R$8 &amp; "+1d20"</f>
        <v>8+1d20</v>
      </c>
      <c r="E18" s="67" t="str">
        <f>$R$8 &amp; "+1d20"</f>
        <v>8+1d20</v>
      </c>
      <c r="F18" s="67" t="str">
        <f>$R$8+1 &amp; "+1d20"</f>
        <v>9+1d20</v>
      </c>
      <c r="G18" s="68"/>
    </row>
    <row r="19" spans="1:11" s="287" customFormat="1" ht="23.25" customHeight="1">
      <c r="A19" s="612"/>
      <c r="B19" s="303" t="s">
        <v>1</v>
      </c>
      <c r="C19" s="638"/>
      <c r="D19" s="304" t="str">
        <f>$R$8+2 &amp; "+1d20"</f>
        <v>10+1d20</v>
      </c>
      <c r="E19" s="304" t="str">
        <f>$R$8+2 &amp; "+1d20"</f>
        <v>10+1d20</v>
      </c>
      <c r="F19" s="304" t="str">
        <f>$R$8+2+1 &amp; "+1d20"</f>
        <v>11+1d20</v>
      </c>
      <c r="G19" s="305"/>
    </row>
    <row r="20" spans="1:11" s="287" customFormat="1" ht="23.25" customHeight="1">
      <c r="A20" s="612"/>
      <c r="B20" s="306" t="s">
        <v>476</v>
      </c>
      <c r="C20" s="638"/>
      <c r="D20" s="307" t="str">
        <f>3+$R$8 &amp; "+1d20"</f>
        <v>11+1d20</v>
      </c>
      <c r="E20" s="307" t="str">
        <f>3+$R$8 &amp; "+1d20"</f>
        <v>11+1d20</v>
      </c>
      <c r="F20" s="307" t="str">
        <f>3+$R$8+1 &amp; "+1d20"</f>
        <v>12+1d20</v>
      </c>
      <c r="G20" s="308"/>
    </row>
    <row r="21" spans="1:11" s="287" customFormat="1" ht="23.25" customHeight="1" thickBot="1">
      <c r="A21" s="613"/>
      <c r="B21" s="309" t="s">
        <v>1</v>
      </c>
      <c r="C21" s="639"/>
      <c r="D21" s="310" t="str">
        <f>3+$R$8+2 &amp; "+1d20"</f>
        <v>13+1d20</v>
      </c>
      <c r="E21" s="310" t="str">
        <f>3+$R$8+2 &amp; "+1d20"</f>
        <v>13+1d20</v>
      </c>
      <c r="F21" s="310" t="str">
        <f>3+$R$8+2+1 &amp; "+1d20"</f>
        <v>14+1d20</v>
      </c>
      <c r="G21" s="311"/>
    </row>
    <row r="22" spans="1:11" s="287" customFormat="1" ht="18" customHeight="1">
      <c r="A22" s="631" t="s">
        <v>316</v>
      </c>
      <c r="B22" s="257" t="s">
        <v>4</v>
      </c>
      <c r="C22" s="233" t="str">
        <f>IF($S$13 = 0,"", $S$13)</f>
        <v/>
      </c>
      <c r="D22" s="234" t="str">
        <f>$R$13 &amp; "+" &amp; $O$13 &amp; "d" &amp; $Q$13</f>
        <v>0+1d4</v>
      </c>
      <c r="E22" s="234" t="str">
        <f>$R$13 &amp; "+" &amp; $O$13 &amp; "d" &amp; $Q$13</f>
        <v>0+1d4</v>
      </c>
      <c r="F22" s="234" t="str">
        <f>$R$13 &amp; "+" &amp; $O$13 &amp; "d" &amp; $Q$13</f>
        <v>0+1d4</v>
      </c>
      <c r="G22" s="235"/>
      <c r="H22" s="288"/>
      <c r="I22" s="288"/>
      <c r="J22" s="288"/>
      <c r="K22" s="288"/>
    </row>
    <row r="23" spans="1:11" s="287" customFormat="1" ht="18" customHeight="1">
      <c r="A23" s="632"/>
      <c r="B23" s="359" t="s">
        <v>3</v>
      </c>
      <c r="C23" s="360" t="str">
        <f>IF($S$14 = 0,"", $S$14)</f>
        <v/>
      </c>
      <c r="D23" s="361" t="str">
        <f t="shared" ref="D23:F23" si="0">$R$14 &amp; IF($O$14 = 0,"","+" &amp; $O$14 &amp; "d" &amp; $Q$14)</f>
        <v>4+3d6</v>
      </c>
      <c r="E23" s="361" t="str">
        <f t="shared" si="0"/>
        <v>4+3d6</v>
      </c>
      <c r="F23" s="361" t="str">
        <f t="shared" si="0"/>
        <v>4+3d6</v>
      </c>
      <c r="G23" s="363"/>
      <c r="H23" s="288"/>
      <c r="I23" s="288"/>
      <c r="J23" s="288"/>
      <c r="K23" s="288"/>
    </row>
    <row r="24" spans="1:11" s="287" customFormat="1" ht="18" customHeight="1">
      <c r="A24" s="632"/>
      <c r="B24" s="359" t="s">
        <v>982</v>
      </c>
      <c r="C24" s="360" t="str">
        <f>IF($S$14 = 0,"", $S$14)</f>
        <v/>
      </c>
      <c r="D24" s="361" t="str">
        <f>$R$15 &amp; IF($O$15 = 0,"","+" &amp; $O$15 &amp; "d" &amp; $Q$15)</f>
        <v>4+5d6</v>
      </c>
      <c r="E24" s="361" t="str">
        <f>$R$15 &amp; IF($O$15 = 0,"","+" &amp; $O$15 &amp; "d" &amp; $Q$15)</f>
        <v>4+5d6</v>
      </c>
      <c r="F24" s="361" t="str">
        <f>$R$15 &amp; IF($O$15 = 0,"","+" &amp; $O$15 &amp; "d" &amp; $Q$15)</f>
        <v>4+5d6</v>
      </c>
      <c r="G24" s="363"/>
      <c r="H24" s="288"/>
      <c r="I24" s="288"/>
      <c r="J24" s="288"/>
      <c r="K24" s="288"/>
    </row>
    <row r="25" spans="1:11" s="287" customFormat="1" ht="18" customHeight="1" thickBot="1">
      <c r="A25" s="633"/>
      <c r="B25" s="514" t="s">
        <v>981</v>
      </c>
      <c r="C25" s="507" t="str">
        <f>IF($S$14 = 0,"", $S$14)</f>
        <v/>
      </c>
      <c r="D25" s="508">
        <f>$S$15</f>
        <v>34</v>
      </c>
      <c r="E25" s="508">
        <f>$S$15</f>
        <v>34</v>
      </c>
      <c r="F25" s="508">
        <f>$S$15</f>
        <v>34</v>
      </c>
      <c r="G25" s="509"/>
      <c r="H25" s="288"/>
      <c r="I25" s="288"/>
      <c r="J25" s="288"/>
      <c r="K25" s="288"/>
    </row>
    <row r="26" spans="1:11" s="287" customFormat="1" ht="18" customHeight="1">
      <c r="A26" s="598" t="s">
        <v>478</v>
      </c>
      <c r="B26" s="257" t="s">
        <v>4</v>
      </c>
      <c r="C26" s="233" t="str">
        <f>IF($S$13 = 0,"", $S$13)</f>
        <v/>
      </c>
      <c r="D26" s="234" t="str">
        <f>$R$13+3 &amp; "+" &amp; $O$13 &amp; "d" &amp; $Q$13</f>
        <v>3+1d4</v>
      </c>
      <c r="E26" s="234" t="str">
        <f>$R$13+3 &amp; "+" &amp; $O$13 &amp; "d" &amp; $Q$13</f>
        <v>3+1d4</v>
      </c>
      <c r="F26" s="234" t="str">
        <f>$R$13+3 &amp; "+" &amp; $O$13 &amp; "d" &amp; $Q$13</f>
        <v>3+1d4</v>
      </c>
      <c r="G26" s="235"/>
      <c r="H26" s="288"/>
      <c r="I26" s="288"/>
      <c r="J26" s="288"/>
      <c r="K26" s="288"/>
    </row>
    <row r="27" spans="1:11" s="287" customFormat="1" ht="18" customHeight="1">
      <c r="A27" s="599"/>
      <c r="B27" s="359" t="s">
        <v>3</v>
      </c>
      <c r="C27" s="360" t="str">
        <f>IF($S$14 = 0,"", $S$14)</f>
        <v/>
      </c>
      <c r="D27" s="361" t="str">
        <f>$R$14+3 &amp; IF($O$14 = 0,"","+" &amp; $O$14 &amp; "d" &amp; $Q$14)</f>
        <v>7+3d6</v>
      </c>
      <c r="E27" s="361" t="str">
        <f>$R$14+3 &amp; IF($O$14 = 0,"","+" &amp; $O$14 &amp; "d" &amp; $Q$14)</f>
        <v>7+3d6</v>
      </c>
      <c r="F27" s="361" t="str">
        <f>$R$14+3 &amp; IF($O$14 = 0,"","+" &amp; ($O$14 &amp; "d" &amp; $Q$14))</f>
        <v>7+3d6</v>
      </c>
      <c r="G27" s="363"/>
      <c r="H27" s="288"/>
      <c r="I27" s="288"/>
      <c r="J27" s="288"/>
      <c r="K27" s="288"/>
    </row>
    <row r="28" spans="1:11" s="287" customFormat="1" ht="18" customHeight="1">
      <c r="A28" s="599"/>
      <c r="B28" s="359" t="s">
        <v>982</v>
      </c>
      <c r="C28" s="360" t="str">
        <f>IF($S$14 = 0,"", $S$14)</f>
        <v/>
      </c>
      <c r="D28" s="361" t="str">
        <f>$R$15+3 &amp; IF($O$15 = 0,"","+" &amp; $O$15 &amp; "d" &amp; $Q$15)</f>
        <v>7+5d6</v>
      </c>
      <c r="E28" s="361" t="str">
        <f>$R$15+3 &amp; IF($O$15 = 0,"","+" &amp; $O$15 &amp; "d" &amp; $Q$15)</f>
        <v>7+5d6</v>
      </c>
      <c r="F28" s="361" t="str">
        <f>$R$15+3 &amp; IF($O$15 = 0,"","+" &amp; ($O$15 &amp; "d" &amp; $Q$15))</f>
        <v>7+5d6</v>
      </c>
      <c r="G28" s="363"/>
      <c r="H28" s="288"/>
      <c r="I28" s="288"/>
      <c r="J28" s="288"/>
      <c r="K28" s="288"/>
    </row>
    <row r="29" spans="1:11" s="287" customFormat="1" ht="18" customHeight="1" thickBot="1">
      <c r="A29" s="600"/>
      <c r="B29" s="514" t="s">
        <v>981</v>
      </c>
      <c r="C29" s="507" t="str">
        <f>IF($S$14 = 0,"", $S$14)</f>
        <v/>
      </c>
      <c r="D29" s="508">
        <f>$S$15+3</f>
        <v>37</v>
      </c>
      <c r="E29" s="508">
        <f>$S$15+3</f>
        <v>37</v>
      </c>
      <c r="F29" s="508">
        <f>$S$15+3</f>
        <v>37</v>
      </c>
      <c r="G29" s="509"/>
      <c r="H29" s="288"/>
      <c r="I29" s="288"/>
      <c r="J29" s="288"/>
      <c r="K29" s="288"/>
    </row>
    <row r="30" spans="1:11" s="133" customFormat="1" ht="18.75" customHeight="1" thickBot="1">
      <c r="A30" s="606" t="s">
        <v>317</v>
      </c>
      <c r="B30" s="607"/>
      <c r="C30" s="607"/>
      <c r="D30" s="70" t="s">
        <v>2</v>
      </c>
      <c r="E30" s="55" t="s">
        <v>109</v>
      </c>
      <c r="F30" s="71" t="s">
        <v>102</v>
      </c>
      <c r="G30" s="60" t="s">
        <v>70</v>
      </c>
    </row>
    <row r="31" spans="1:11" s="287" customFormat="1" ht="23.25" customHeight="1">
      <c r="A31" s="611" t="s">
        <v>41</v>
      </c>
      <c r="B31" s="69" t="s">
        <v>113</v>
      </c>
      <c r="C31" s="637" t="str">
        <f>$K$8</f>
        <v>AC</v>
      </c>
      <c r="D31" s="67" t="str">
        <f>$L$8 &amp; "+1d20"</f>
        <v>16+1d20</v>
      </c>
      <c r="E31" s="67" t="str">
        <f>$L$8 &amp; "+1d20"</f>
        <v>16+1d20</v>
      </c>
      <c r="F31" s="67" t="str">
        <f>$L$8+1 &amp; "+1d20"</f>
        <v>17+1d20</v>
      </c>
      <c r="G31" s="68"/>
    </row>
    <row r="32" spans="1:11" s="287" customFormat="1" ht="23.25" customHeight="1">
      <c r="A32" s="612"/>
      <c r="B32" s="303" t="s">
        <v>1</v>
      </c>
      <c r="C32" s="638"/>
      <c r="D32" s="304" t="str">
        <f>$L$8+2 &amp; "+1d20"</f>
        <v>18+1d20</v>
      </c>
      <c r="E32" s="304" t="str">
        <f>$L$8+2 &amp; "+1d20"</f>
        <v>18+1d20</v>
      </c>
      <c r="F32" s="304" t="str">
        <f>$L$8+1+2 &amp; "+1d20"</f>
        <v>19+1d20</v>
      </c>
      <c r="G32" s="305"/>
    </row>
    <row r="33" spans="1:11" s="287" customFormat="1" ht="23.25" customHeight="1">
      <c r="A33" s="612"/>
      <c r="B33" s="306" t="s">
        <v>476</v>
      </c>
      <c r="C33" s="638"/>
      <c r="D33" s="307" t="str">
        <f>3+$L$8 &amp; "+1d20"</f>
        <v>19+1d20</v>
      </c>
      <c r="E33" s="307" t="str">
        <f>3+$L$8 &amp; "+1d20"</f>
        <v>19+1d20</v>
      </c>
      <c r="F33" s="307" t="str">
        <f>3+$L$8+1 &amp; "+1d20"</f>
        <v>20+1d20</v>
      </c>
      <c r="G33" s="308"/>
    </row>
    <row r="34" spans="1:11" s="287" customFormat="1" ht="23.25" customHeight="1" thickBot="1">
      <c r="A34" s="613"/>
      <c r="B34" s="309" t="s">
        <v>1</v>
      </c>
      <c r="C34" s="639"/>
      <c r="D34" s="310" t="str">
        <f>3+$L$8+2 &amp; "+1d20"</f>
        <v>21+1d20</v>
      </c>
      <c r="E34" s="310" t="str">
        <f>3+$L$8+2 &amp; "+1d20"</f>
        <v>21+1d20</v>
      </c>
      <c r="F34" s="310" t="str">
        <f>3+$L$8+1+2 &amp; "+1d20"</f>
        <v>22+1d20</v>
      </c>
      <c r="G34" s="311"/>
    </row>
    <row r="35" spans="1:11" s="287" customFormat="1" ht="18" customHeight="1">
      <c r="A35" s="634" t="s">
        <v>475</v>
      </c>
      <c r="B35" s="257" t="s">
        <v>4</v>
      </c>
      <c r="C35" s="233" t="str">
        <f>IF($M$13 = 0,"", $M$13)</f>
        <v/>
      </c>
      <c r="D35" s="234" t="str">
        <f>$L$13 &amp; "+" &amp; $I$13 &amp; "d" &amp; $K$13</f>
        <v>4+1d8</v>
      </c>
      <c r="E35" s="234" t="str">
        <f>$L$13 &amp; "+" &amp; $I$13 &amp; "d" &amp; $K$13</f>
        <v>4+1d8</v>
      </c>
      <c r="F35" s="234" t="str">
        <f>$L$13 &amp; "+" &amp; $I$13 &amp; "d" &amp; $K$13</f>
        <v>4+1d8</v>
      </c>
      <c r="G35" s="235"/>
    </row>
    <row r="36" spans="1:11" s="287" customFormat="1" ht="18" customHeight="1">
      <c r="A36" s="635"/>
      <c r="B36" s="359" t="s">
        <v>3</v>
      </c>
      <c r="C36" s="360" t="str">
        <f>IF($M$14 = 0,"", $M$14)</f>
        <v/>
      </c>
      <c r="D36" s="361" t="str">
        <f>$L$14 &amp; "+2d6" &amp; IF($I$14 = 0,"","+" &amp; $I$14 &amp; "d" &amp; $K$14)</f>
        <v>12+2d6+5d12</v>
      </c>
      <c r="E36" s="361" t="str">
        <f>$L$14 &amp; "+2d6" &amp; IF($I$14 = 0,"","+" &amp; $I$14 &amp; "d" &amp; $K$14)</f>
        <v>12+2d6+5d12</v>
      </c>
      <c r="F36" s="361" t="str">
        <f>$L$14 &amp; "+2d6" &amp; IF($I$14 = 0,"","+" &amp; $I$14 &amp; "d" &amp; $K$14)</f>
        <v>12+2d6+5d12</v>
      </c>
      <c r="G36" s="363"/>
    </row>
    <row r="37" spans="1:11" s="287" customFormat="1" ht="18" customHeight="1">
      <c r="A37" s="635"/>
      <c r="B37" s="359" t="s">
        <v>982</v>
      </c>
      <c r="C37" s="360" t="str">
        <f>IF($M$14 = 0,"", $M$14)</f>
        <v/>
      </c>
      <c r="D37" s="361" t="str">
        <f>$L$15 &amp; "+2d6" &amp; IF($I$15 = 0,"","+" &amp; $I$15 &amp; "d" &amp; $K$15)</f>
        <v>12+2d6+7d12</v>
      </c>
      <c r="E37" s="361" t="str">
        <f>$L$15 &amp; "+2d6" &amp; IF($I$15 = 0,"","+" &amp; $I$15 &amp; "d" &amp; $K$15)</f>
        <v>12+2d6+7d12</v>
      </c>
      <c r="F37" s="361" t="str">
        <f>$L$15 &amp; "+2d6" &amp; IF($I$15 = 0,"","+" &amp; $I$15 &amp; "d" &amp; $K$15)</f>
        <v>12+2d6+7d12</v>
      </c>
      <c r="G37" s="363"/>
    </row>
    <row r="38" spans="1:11" s="287" customFormat="1" ht="18" customHeight="1" thickBot="1">
      <c r="A38" s="636"/>
      <c r="B38" s="514" t="s">
        <v>981</v>
      </c>
      <c r="C38" s="507" t="str">
        <f>IF($M$14 = 0,"", $M$14)</f>
        <v/>
      </c>
      <c r="D38" s="508">
        <f>$M$15+12</f>
        <v>108</v>
      </c>
      <c r="E38" s="508">
        <f>$M$15+12</f>
        <v>108</v>
      </c>
      <c r="F38" s="508">
        <f>$M$15+12</f>
        <v>108</v>
      </c>
      <c r="G38" s="509"/>
    </row>
    <row r="39" spans="1:11" s="133" customFormat="1" ht="18" customHeight="1">
      <c r="A39" s="598" t="s">
        <v>478</v>
      </c>
      <c r="B39" s="257" t="s">
        <v>4</v>
      </c>
      <c r="C39" s="233" t="str">
        <f>IF($M$13 = 0,"", $M$13)</f>
        <v/>
      </c>
      <c r="D39" s="234" t="str">
        <f>$L$13+3 &amp; "+" &amp; $I$13 &amp; "d" &amp; $K$13</f>
        <v>7+1d8</v>
      </c>
      <c r="E39" s="234" t="str">
        <f>$L$13+3 &amp; "+" &amp; $I$13 &amp; "d" &amp; $K$13</f>
        <v>7+1d8</v>
      </c>
      <c r="F39" s="234" t="str">
        <f>$L$13+3 &amp; "+" &amp; $I$13 &amp; "d" &amp; $K$13</f>
        <v>7+1d8</v>
      </c>
      <c r="G39" s="235"/>
    </row>
    <row r="40" spans="1:11" s="287" customFormat="1" ht="18" customHeight="1">
      <c r="A40" s="599"/>
      <c r="B40" s="359" t="s">
        <v>3</v>
      </c>
      <c r="C40" s="360" t="str">
        <f>IF($M$14 = 0,"", $M$14)</f>
        <v/>
      </c>
      <c r="D40" s="361" t="str">
        <f>$L$14+3 &amp; "+2d6" &amp; IF($I$14 = 0,"","+" &amp; $I$14 &amp; "d" &amp; $K$14)</f>
        <v>15+2d6+5d12</v>
      </c>
      <c r="E40" s="361" t="str">
        <f>$L$14+3 &amp; "+2d6" &amp; IF($I$14 = 0,"","+" &amp; $I$14 &amp; "d" &amp; $K$14)</f>
        <v>15+2d6+5d12</v>
      </c>
      <c r="F40" s="361" t="str">
        <f>$L$14+3 &amp; "+2d6" &amp; IF($I$14 = 0,"","+" &amp; $I$14 &amp; "d" &amp; $K$14)</f>
        <v>15+2d6+5d12</v>
      </c>
      <c r="G40" s="363"/>
    </row>
    <row r="41" spans="1:11" s="287" customFormat="1" ht="18" customHeight="1">
      <c r="A41" s="599"/>
      <c r="B41" s="359" t="s">
        <v>982</v>
      </c>
      <c r="C41" s="360" t="str">
        <f>IF($M$14 = 0,"", $M$14)</f>
        <v/>
      </c>
      <c r="D41" s="361" t="str">
        <f>$L$15+3 &amp; "+2d6" &amp; IF($I$15 = 0,"","+" &amp; $I$15 &amp; "d" &amp; $K$15)</f>
        <v>15+2d6+7d12</v>
      </c>
      <c r="E41" s="361" t="str">
        <f>$L$15+3 &amp; "+2d6" &amp; IF($I$15 = 0,"","+" &amp; $I$15 &amp; "d" &amp; $K$15)</f>
        <v>15+2d6+7d12</v>
      </c>
      <c r="F41" s="361" t="str">
        <f>$L$15+3 &amp; "+2d6" &amp; IF($I$15 = 0,"","+" &amp; $I$15 &amp; "d" &amp; $K$15)</f>
        <v>15+2d6+7d12</v>
      </c>
      <c r="G41" s="363"/>
    </row>
    <row r="42" spans="1:11" s="133" customFormat="1" ht="18" customHeight="1" thickBot="1">
      <c r="A42" s="600"/>
      <c r="B42" s="514" t="s">
        <v>981</v>
      </c>
      <c r="C42" s="507" t="str">
        <f>IF($M$14 = 0,"", $M$14)</f>
        <v/>
      </c>
      <c r="D42" s="508">
        <f>$M$15+3+12</f>
        <v>111</v>
      </c>
      <c r="E42" s="508">
        <f>$M$15+3+12</f>
        <v>111</v>
      </c>
      <c r="F42" s="508">
        <f>$M$15+3+12</f>
        <v>111</v>
      </c>
      <c r="G42" s="509"/>
    </row>
    <row r="43" spans="1:11" s="133" customFormat="1" ht="8.25" customHeight="1">
      <c r="A43" s="523"/>
      <c r="B43" s="523"/>
      <c r="C43" s="523"/>
      <c r="D43" s="523"/>
      <c r="E43" s="523"/>
      <c r="F43" s="523"/>
      <c r="G43" s="523"/>
      <c r="H43" s="88"/>
      <c r="I43" s="88"/>
      <c r="J43" s="88"/>
      <c r="K43" s="88"/>
    </row>
    <row r="44" spans="1:11" s="287" customFormat="1" ht="14.25">
      <c r="A44" s="517" t="s">
        <v>809</v>
      </c>
      <c r="B44" s="517"/>
      <c r="C44" s="517"/>
      <c r="D44" s="517"/>
      <c r="E44" s="517"/>
      <c r="F44" s="517"/>
      <c r="G44" s="517"/>
      <c r="H44" s="288"/>
    </row>
    <row r="45" spans="1:11" s="287" customFormat="1" ht="13.5" customHeight="1">
      <c r="A45" s="529" t="s">
        <v>874</v>
      </c>
      <c r="B45" s="529"/>
      <c r="C45" s="529"/>
      <c r="D45" s="529"/>
      <c r="E45" s="529"/>
      <c r="F45" s="529"/>
      <c r="G45" s="529"/>
      <c r="H45" s="288"/>
    </row>
    <row r="46" spans="1:11" s="287" customFormat="1" ht="13.5" customHeight="1">
      <c r="A46" s="529" t="s">
        <v>812</v>
      </c>
      <c r="B46" s="529"/>
      <c r="C46" s="529"/>
      <c r="D46" s="529"/>
      <c r="E46" s="529"/>
      <c r="F46" s="529"/>
      <c r="G46" s="529"/>
      <c r="H46" s="288"/>
    </row>
    <row r="47" spans="1:11" s="133" customFormat="1" ht="14.25">
      <c r="A47" s="517" t="s">
        <v>149</v>
      </c>
      <c r="B47" s="517"/>
      <c r="C47" s="517"/>
      <c r="D47" s="517"/>
      <c r="E47" s="517"/>
      <c r="F47" s="517"/>
      <c r="G47" s="517"/>
      <c r="H47" s="88"/>
    </row>
    <row r="48" spans="1:11" s="133" customFormat="1" ht="13.5" customHeight="1">
      <c r="A48" s="529" t="s">
        <v>150</v>
      </c>
      <c r="B48" s="529"/>
      <c r="C48" s="529"/>
      <c r="D48" s="529"/>
      <c r="E48" s="529"/>
      <c r="F48" s="529"/>
      <c r="G48" s="529"/>
      <c r="H48" s="88"/>
      <c r="I48" s="88"/>
      <c r="J48" s="88"/>
      <c r="K48" s="88"/>
    </row>
    <row r="49" spans="1:13" s="133" customFormat="1" ht="4.5" customHeight="1">
      <c r="A49" s="604"/>
      <c r="B49" s="604"/>
      <c r="C49" s="604"/>
      <c r="D49" s="604"/>
      <c r="E49" s="604"/>
      <c r="F49" s="604"/>
      <c r="G49" s="604"/>
      <c r="H49" s="88"/>
      <c r="I49" s="88"/>
      <c r="J49" s="88"/>
      <c r="K49" s="88"/>
    </row>
    <row r="50" spans="1:13">
      <c r="A50" s="619" t="s">
        <v>48</v>
      </c>
      <c r="B50" s="620"/>
      <c r="C50" s="620"/>
      <c r="D50" s="620"/>
      <c r="E50" s="620"/>
      <c r="F50" s="620"/>
      <c r="G50" s="621"/>
    </row>
    <row r="51" spans="1:13" s="27" customFormat="1" ht="25.5" customHeight="1">
      <c r="A51" s="622" t="s">
        <v>811</v>
      </c>
      <c r="B51" s="623"/>
      <c r="C51" s="623"/>
      <c r="D51" s="623"/>
      <c r="E51" s="623"/>
      <c r="F51" s="623"/>
      <c r="G51" s="624"/>
      <c r="L51" s="78"/>
      <c r="M51" s="133"/>
    </row>
    <row r="52" spans="1:13" s="27" customFormat="1" ht="7.5" customHeight="1">
      <c r="A52" s="614"/>
      <c r="B52" s="520"/>
      <c r="C52" s="520"/>
      <c r="D52" s="520"/>
      <c r="E52" s="520"/>
      <c r="F52" s="520"/>
      <c r="G52" s="615"/>
      <c r="L52" s="78"/>
      <c r="M52" s="133"/>
    </row>
    <row r="53" spans="1:13" s="27" customFormat="1" ht="21">
      <c r="A53" s="24"/>
      <c r="B53" s="83"/>
      <c r="C53" s="25"/>
      <c r="D53" s="26"/>
      <c r="E53" s="616" t="str">
        <f>$B$2</f>
        <v>近接基礎攻撃</v>
      </c>
      <c r="F53" s="617"/>
      <c r="G53" s="618"/>
      <c r="L53" s="78"/>
      <c r="M53" s="133"/>
    </row>
  </sheetData>
  <mergeCells count="42">
    <mergeCell ref="P9:Q9"/>
    <mergeCell ref="P11:Q11"/>
    <mergeCell ref="J9:K9"/>
    <mergeCell ref="J11:K11"/>
    <mergeCell ref="A18:A21"/>
    <mergeCell ref="C18:C21"/>
    <mergeCell ref="F1:G1"/>
    <mergeCell ref="B2:G2"/>
    <mergeCell ref="B4:G4"/>
    <mergeCell ref="B5:G5"/>
    <mergeCell ref="A46:G46"/>
    <mergeCell ref="A22:A25"/>
    <mergeCell ref="A39:A42"/>
    <mergeCell ref="A35:A38"/>
    <mergeCell ref="C31:C34"/>
    <mergeCell ref="B1:C1"/>
    <mergeCell ref="B6:D6"/>
    <mergeCell ref="B7:D7"/>
    <mergeCell ref="B8:G8"/>
    <mergeCell ref="B9:G9"/>
    <mergeCell ref="B10:G10"/>
    <mergeCell ref="A52:G52"/>
    <mergeCell ref="E53:G53"/>
    <mergeCell ref="A50:G50"/>
    <mergeCell ref="A51:G51"/>
    <mergeCell ref="A49:G49"/>
    <mergeCell ref="A47:G47"/>
    <mergeCell ref="A48:G48"/>
    <mergeCell ref="H4:M4"/>
    <mergeCell ref="N4:S4"/>
    <mergeCell ref="A26:A29"/>
    <mergeCell ref="A44:G44"/>
    <mergeCell ref="A45:G45"/>
    <mergeCell ref="B11:G11"/>
    <mergeCell ref="B15:G15"/>
    <mergeCell ref="A17:C17"/>
    <mergeCell ref="A43:G43"/>
    <mergeCell ref="A30:C30"/>
    <mergeCell ref="B12:G12"/>
    <mergeCell ref="B13:G13"/>
    <mergeCell ref="B14:G14"/>
    <mergeCell ref="A31:A34"/>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基本!$A$16:$A$19</xm:f>
          </x14:formula1>
          <xm:sqref>K8</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I7 O7</xm:sqref>
        </x14:dataValidation>
        <x14:dataValidation type="list" allowBlank="1" showInputMessage="1" showErrorMessage="1">
          <x14:formula1>
            <xm:f>基本!$A$5:$A$10</xm:f>
          </x14:formula1>
          <xm:sqref>I8 I10 K15 Q15</xm:sqref>
        </x14:dataValidation>
        <x14:dataValidation type="list" allowBlank="1" showInputMessage="1" showErrorMessage="1">
          <x14:formula1>
            <xm:f>基本!$B$27:$B$31</xm:f>
          </x14:formula1>
          <xm:sqref>I6</xm:sqref>
        </x14:dataValidation>
        <x14:dataValidation type="list" allowBlank="1" showInputMessage="1" showErrorMessage="1">
          <x14:formula1>
            <xm:f>基本!$A$27:$A$33</xm:f>
          </x14:formula1>
          <xm:sqref>I5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N62"/>
  <sheetViews>
    <sheetView zoomScaleNormal="100" workbookViewId="0">
      <selection activeCell="B2" sqref="B2:G2"/>
    </sheetView>
  </sheetViews>
  <sheetFormatPr defaultRowHeight="13.5"/>
  <cols>
    <col min="1" max="1" width="7.875" style="133" customWidth="1"/>
    <col min="2" max="2" width="8.5" style="133" customWidth="1"/>
    <col min="3" max="3" width="6.625" style="133" customWidth="1"/>
    <col min="4" max="4" width="15.75" style="133" customWidth="1"/>
    <col min="5" max="6" width="15.75" style="88" customWidth="1"/>
    <col min="7" max="7" width="18.25" style="88" customWidth="1"/>
    <col min="8" max="8" width="17.375" style="88" customWidth="1"/>
    <col min="9" max="9" width="14.625" style="88" customWidth="1"/>
    <col min="10" max="10" width="8.375" style="88" customWidth="1"/>
    <col min="11" max="11" width="7.5" style="88" customWidth="1"/>
    <col min="12" max="13" width="7.875" style="133" customWidth="1"/>
    <col min="14" max="14" width="9.25" style="133" customWidth="1"/>
    <col min="15" max="15" width="12.375" style="133" customWidth="1"/>
    <col min="16" max="16384" width="9" style="133"/>
  </cols>
  <sheetData>
    <row r="1" spans="1:14" ht="21">
      <c r="A1" s="90" t="s">
        <v>114</v>
      </c>
      <c r="B1" s="640">
        <v>1</v>
      </c>
      <c r="C1" s="641"/>
      <c r="D1" s="92" t="s">
        <v>39</v>
      </c>
      <c r="E1" s="91" t="s">
        <v>40</v>
      </c>
      <c r="F1" s="625"/>
      <c r="G1" s="626"/>
      <c r="H1" s="93" t="s">
        <v>54</v>
      </c>
    </row>
    <row r="2" spans="1:14" ht="24.75" customHeight="1">
      <c r="A2" s="92" t="s">
        <v>0</v>
      </c>
      <c r="B2" s="627" t="s">
        <v>283</v>
      </c>
      <c r="C2" s="627"/>
      <c r="D2" s="627"/>
      <c r="E2" s="627"/>
      <c r="F2" s="627"/>
      <c r="G2" s="627"/>
      <c r="H2" s="93" t="s">
        <v>55</v>
      </c>
    </row>
    <row r="3" spans="1:14" ht="19.5" customHeight="1">
      <c r="A3" s="99" t="s">
        <v>47</v>
      </c>
      <c r="B3" s="88"/>
      <c r="C3" s="88"/>
      <c r="D3" s="88"/>
      <c r="I3" s="93"/>
    </row>
    <row r="4" spans="1:14">
      <c r="A4" s="72" t="s">
        <v>45</v>
      </c>
      <c r="B4" s="628" t="s">
        <v>282</v>
      </c>
      <c r="C4" s="629"/>
      <c r="D4" s="629"/>
      <c r="E4" s="629"/>
      <c r="F4" s="629"/>
      <c r="G4" s="630"/>
      <c r="H4" s="539" t="s">
        <v>980</v>
      </c>
      <c r="I4" s="540"/>
      <c r="J4" s="540"/>
      <c r="K4" s="540"/>
      <c r="L4" s="540"/>
      <c r="M4" s="541"/>
    </row>
    <row r="5" spans="1:14">
      <c r="A5" s="73" t="s">
        <v>38</v>
      </c>
      <c r="B5" s="628" t="s">
        <v>281</v>
      </c>
      <c r="C5" s="629"/>
      <c r="D5" s="629"/>
      <c r="E5" s="629"/>
      <c r="F5" s="629"/>
      <c r="G5" s="630"/>
      <c r="H5" s="148" t="s">
        <v>42</v>
      </c>
      <c r="I5" s="149" t="s">
        <v>70</v>
      </c>
      <c r="J5" s="149">
        <v>10</v>
      </c>
    </row>
    <row r="6" spans="1:14">
      <c r="A6" s="73" t="s">
        <v>7</v>
      </c>
      <c r="B6" s="628" t="s">
        <v>5</v>
      </c>
      <c r="C6" s="629"/>
      <c r="D6" s="630"/>
      <c r="E6" s="148" t="s">
        <v>42</v>
      </c>
      <c r="F6" s="147" t="str">
        <f>$I$5</f>
        <v>遠隔</v>
      </c>
      <c r="G6" s="147">
        <f>IF($J$5 = 0,"", $J$5)</f>
        <v>10</v>
      </c>
      <c r="H6" s="148" t="s">
        <v>65</v>
      </c>
      <c r="I6" s="149"/>
      <c r="J6" s="149"/>
    </row>
    <row r="7" spans="1:14">
      <c r="A7" s="75" t="s">
        <v>6</v>
      </c>
      <c r="B7" s="648" t="s">
        <v>144</v>
      </c>
      <c r="C7" s="649"/>
      <c r="D7" s="650"/>
      <c r="E7" s="148" t="s">
        <v>65</v>
      </c>
      <c r="F7" s="147" t="str">
        <f>IF($I$6 = 0,"", $I$6)</f>
        <v/>
      </c>
      <c r="G7" s="147" t="str">
        <f>IF($J$6 = 0,"", $J$6)</f>
        <v/>
      </c>
      <c r="H7" s="148" t="s">
        <v>84</v>
      </c>
      <c r="I7" s="149" t="s">
        <v>112</v>
      </c>
      <c r="J7" s="93" t="s">
        <v>61</v>
      </c>
      <c r="L7" s="230" t="s">
        <v>343</v>
      </c>
    </row>
    <row r="8" spans="1:14">
      <c r="A8" s="77"/>
      <c r="B8" s="651" t="s">
        <v>146</v>
      </c>
      <c r="C8" s="652"/>
      <c r="D8" s="652"/>
      <c r="E8" s="653"/>
      <c r="F8" s="653"/>
      <c r="G8" s="654"/>
      <c r="H8" s="148" t="s">
        <v>50</v>
      </c>
      <c r="I8" s="149" t="s">
        <v>16</v>
      </c>
      <c r="J8" s="147">
        <f>IF($I$8 = "筋力",基本!$C$5,IF($I$8 = "耐久力",基本!$C$6,IF($I$8 = "敏捷力",基本!$C$7,IF($I$8 = "知力",基本!$C$8,IF($I$8 = "判断力",基本!$C$9,IF($I$8 = "魅力",基本!$C$10,""))))))</f>
        <v>7</v>
      </c>
      <c r="K8" s="149" t="s">
        <v>20</v>
      </c>
      <c r="L8" s="229">
        <f>$J$8+$L$9+$I$9</f>
        <v>22</v>
      </c>
    </row>
    <row r="9" spans="1:14" ht="14.25" customHeight="1">
      <c r="A9" s="74" t="s">
        <v>8</v>
      </c>
      <c r="B9" s="655" t="s">
        <v>143</v>
      </c>
      <c r="C9" s="653"/>
      <c r="D9" s="653"/>
      <c r="E9" s="653"/>
      <c r="F9" s="653"/>
      <c r="G9" s="654"/>
      <c r="H9" s="148" t="s">
        <v>57</v>
      </c>
      <c r="I9" s="149">
        <v>0</v>
      </c>
      <c r="J9" s="539" t="s">
        <v>52</v>
      </c>
      <c r="K9" s="541"/>
      <c r="L9" s="147">
        <f>IF($I$7=基本!$F$4,基本!$O$7,IF($I$7=基本!$F$13,基本!$O$16,IF($I$7=基本!$F$22,基本!$O$25,IF($I$7=基本!$F$31,基本!$O$34,IF($I$7=基本!$F$40,基本!$O$43,0)))))</f>
        <v>15</v>
      </c>
    </row>
    <row r="10" spans="1:14" ht="14.25" customHeight="1">
      <c r="A10" s="76" t="s">
        <v>9</v>
      </c>
      <c r="B10" s="642" t="s">
        <v>145</v>
      </c>
      <c r="C10" s="643"/>
      <c r="D10" s="643"/>
      <c r="E10" s="643"/>
      <c r="F10" s="643"/>
      <c r="G10" s="644"/>
      <c r="H10" s="150" t="s">
        <v>51</v>
      </c>
      <c r="I10" s="149" t="s">
        <v>16</v>
      </c>
      <c r="J10" s="97">
        <f>IF($I$10 = "筋力",基本!$C$5,IF($I$10 = "耐久力",基本!$C$6,IF($I$10 = "敏捷力",基本!$C$7,IF($I$10 = "知力",基本!$C$8,IF($I$10 = "判断力",基本!$C$9,IF($I$10 = "魅力",基本!$C$10,""))))))</f>
        <v>7</v>
      </c>
      <c r="K10" s="501" t="s">
        <v>15</v>
      </c>
      <c r="L10" s="500">
        <f>IF(K10="",0,VLOOKUP(K10,基本!$A$5:'基本'!$C$10,3,FALSE))</f>
        <v>3</v>
      </c>
    </row>
    <row r="11" spans="1:14" ht="1.5" customHeight="1">
      <c r="A11" s="76"/>
      <c r="B11" s="645"/>
      <c r="C11" s="646"/>
      <c r="D11" s="646"/>
      <c r="E11" s="646"/>
      <c r="F11" s="646"/>
      <c r="G11" s="647"/>
      <c r="H11" s="148" t="s">
        <v>58</v>
      </c>
      <c r="I11" s="149">
        <v>0</v>
      </c>
      <c r="J11" s="539" t="s">
        <v>53</v>
      </c>
      <c r="K11" s="541"/>
      <c r="L11" s="147">
        <f>IF($I$7=基本!$F$4,基本!$O$9,IF($I$7=基本!$F$13,基本!$O$18,IF($I$7=基本!$F$22,基本!$O$27,IF($I$7=基本!$F$31,基本!$O$36,IF($I$7=基本!$F$40,基本!$O$45,0)))))</f>
        <v>4</v>
      </c>
    </row>
    <row r="12" spans="1:14" ht="1.5" customHeight="1">
      <c r="A12" s="76"/>
      <c r="B12" s="645"/>
      <c r="C12" s="646"/>
      <c r="D12" s="646"/>
      <c r="E12" s="646"/>
      <c r="F12" s="646"/>
      <c r="G12" s="647"/>
      <c r="J12" s="133"/>
      <c r="K12" s="133"/>
      <c r="L12" s="230" t="s">
        <v>343</v>
      </c>
      <c r="M12" s="506" t="s">
        <v>59</v>
      </c>
    </row>
    <row r="13" spans="1:14" ht="1.5" customHeight="1">
      <c r="A13" s="76"/>
      <c r="B13" s="601"/>
      <c r="C13" s="523"/>
      <c r="D13" s="523"/>
      <c r="E13" s="523"/>
      <c r="F13" s="523"/>
      <c r="G13" s="602"/>
      <c r="H13" s="219" t="s">
        <v>85</v>
      </c>
      <c r="I13" s="149">
        <v>1</v>
      </c>
      <c r="J13" s="148" t="s">
        <v>43</v>
      </c>
      <c r="K13" s="149">
        <v>4</v>
      </c>
      <c r="L13" s="229">
        <f>J10+IF(I13=0,0,L11)+I11</f>
        <v>11</v>
      </c>
      <c r="M13" s="501" t="s">
        <v>73</v>
      </c>
      <c r="N13" s="100"/>
    </row>
    <row r="14" spans="1:14" ht="1.5" customHeight="1">
      <c r="A14" s="101"/>
      <c r="B14" s="645"/>
      <c r="C14" s="646"/>
      <c r="D14" s="646"/>
      <c r="E14" s="646"/>
      <c r="F14" s="646"/>
      <c r="G14" s="647"/>
      <c r="H14" s="148" t="s">
        <v>49</v>
      </c>
      <c r="I14" s="245">
        <f>IF($I$7=基本!$F$4,基本!$L$11,IF($I$7=基本!$F$13,基本!$L$20,IF($I$7=基本!$F$22,基本!$L$29,IF($I$7=基本!$F$31,基本!$L$38,IF($I$7=基本!$F$40,基本!$L$47,0)))))</f>
        <v>5</v>
      </c>
      <c r="J14" s="505" t="s">
        <v>43</v>
      </c>
      <c r="K14" s="245">
        <f>IF($I$7=基本!$F$4,基本!$N$11,IF($I$7=基本!$F$13,基本!$N$20,IF($I$7=基本!$F$22,基本!$N$29,IF($I$7=基本!$F$31,基本!$N$38,IF($I$7=基本!$F$40,基本!$N$47,0)))))</f>
        <v>12</v>
      </c>
      <c r="L14" s="229">
        <f>L13+(I13*K13)</f>
        <v>15</v>
      </c>
      <c r="M14" s="501" t="s">
        <v>73</v>
      </c>
      <c r="N14" s="100"/>
    </row>
    <row r="15" spans="1:14" ht="1.5" customHeight="1">
      <c r="A15" s="76"/>
      <c r="B15" s="645"/>
      <c r="C15" s="646"/>
      <c r="D15" s="646"/>
      <c r="E15" s="646"/>
      <c r="F15" s="646"/>
      <c r="G15" s="647"/>
      <c r="H15" s="505" t="s">
        <v>982</v>
      </c>
      <c r="I15" s="245">
        <f>I14+2</f>
        <v>7</v>
      </c>
      <c r="J15" s="505" t="s">
        <v>43</v>
      </c>
      <c r="K15" s="245">
        <f>IF($I$7=基本!$F$4,基本!$N$11,IF($I$7=基本!$F$13,基本!$N$20,IF($I$7=基本!$F$22,基本!$N$29,IF($I$7=基本!$F$31,基本!$N$38,IF($I$7=基本!$F$40,基本!$N$47,0)))))</f>
        <v>12</v>
      </c>
      <c r="L15" s="229">
        <f>L14</f>
        <v>15</v>
      </c>
      <c r="M15" s="515">
        <f>L15+(I15*K15)</f>
        <v>99</v>
      </c>
    </row>
    <row r="16" spans="1:14" ht="1.5" customHeight="1">
      <c r="A16" s="77"/>
      <c r="B16" s="603"/>
      <c r="C16" s="604"/>
      <c r="D16" s="604"/>
      <c r="E16" s="604"/>
      <c r="F16" s="604"/>
      <c r="G16" s="605"/>
      <c r="H16"/>
      <c r="I16" s="133"/>
      <c r="J16" s="133"/>
      <c r="K16" s="133"/>
    </row>
    <row r="17" spans="1:11" ht="14.25" thickBot="1">
      <c r="A17" s="125" t="s">
        <v>46</v>
      </c>
      <c r="E17" s="89"/>
      <c r="H17" s="133"/>
      <c r="I17" s="133"/>
      <c r="J17" s="133"/>
      <c r="K17" s="133"/>
    </row>
    <row r="18" spans="1:11" s="287" customFormat="1" ht="15" customHeight="1">
      <c r="A18" s="656" t="str">
        <f>$B$2</f>
        <v>ハンド・オヴ・レイディアンス</v>
      </c>
      <c r="B18" s="657"/>
      <c r="C18" s="658"/>
      <c r="D18" s="662" t="s">
        <v>2</v>
      </c>
      <c r="E18" s="663"/>
      <c r="F18" s="664" t="s">
        <v>479</v>
      </c>
      <c r="G18" s="665"/>
    </row>
    <row r="19" spans="1:11" s="287" customFormat="1" ht="18.75" customHeight="1" thickBot="1">
      <c r="A19" s="659"/>
      <c r="B19" s="660"/>
      <c r="C19" s="661"/>
      <c r="D19" s="312" t="s">
        <v>2</v>
      </c>
      <c r="E19" s="313" t="s">
        <v>1</v>
      </c>
      <c r="F19" s="312" t="s">
        <v>2</v>
      </c>
      <c r="G19" s="314" t="s">
        <v>1</v>
      </c>
    </row>
    <row r="20" spans="1:11" s="287" customFormat="1" ht="24" customHeight="1">
      <c r="A20" s="611" t="s">
        <v>41</v>
      </c>
      <c r="B20" s="315" t="s">
        <v>113</v>
      </c>
      <c r="C20" s="666" t="str">
        <f>$K$8</f>
        <v>反応</v>
      </c>
      <c r="D20" s="316" t="str">
        <f>$L$8 &amp; "+1d20"</f>
        <v>22+1d20</v>
      </c>
      <c r="E20" s="317" t="str">
        <f>$L$8+2 &amp; "+1d20"</f>
        <v>24+1d20</v>
      </c>
      <c r="F20" s="316" t="str">
        <f>$L$8 &amp; "+1d20"</f>
        <v>22+1d20</v>
      </c>
      <c r="G20" s="318" t="str">
        <f>$L$8+2 &amp; "+1d20"</f>
        <v>24+1d20</v>
      </c>
    </row>
    <row r="21" spans="1:11" s="287" customFormat="1" ht="24" customHeight="1">
      <c r="A21" s="612"/>
      <c r="B21" s="332" t="s">
        <v>483</v>
      </c>
      <c r="C21" s="667"/>
      <c r="D21" s="325" t="str">
        <f>2+$L$8 &amp; "+1d20"</f>
        <v>24+1d20</v>
      </c>
      <c r="E21" s="326" t="str">
        <f>2+$L$8+2 &amp; "+1d20"</f>
        <v>26+1d20</v>
      </c>
      <c r="F21" s="325" t="str">
        <f>2+$L$8 &amp; "+1d20"</f>
        <v>24+1d20</v>
      </c>
      <c r="G21" s="327" t="str">
        <f>2+$L$8+2 &amp; "+1d20"</f>
        <v>26+1d20</v>
      </c>
    </row>
    <row r="22" spans="1:11" s="287" customFormat="1" ht="24" customHeight="1">
      <c r="A22" s="612"/>
      <c r="B22" s="328" t="s">
        <v>476</v>
      </c>
      <c r="C22" s="667"/>
      <c r="D22" s="329" t="str">
        <f>3+$L$8 &amp; "+1d20"</f>
        <v>25+1d20</v>
      </c>
      <c r="E22" s="330" t="str">
        <f>3+$L$8+2 &amp; "+1d20"</f>
        <v>27+1d20</v>
      </c>
      <c r="F22" s="329" t="str">
        <f>3+$L$8 &amp; "+1d20"</f>
        <v>25+1d20</v>
      </c>
      <c r="G22" s="331" t="str">
        <f>3+$L$8+2 &amp; "+1d20"</f>
        <v>27+1d20</v>
      </c>
    </row>
    <row r="23" spans="1:11" s="287" customFormat="1" ht="24" customHeight="1" thickBot="1">
      <c r="A23" s="613"/>
      <c r="B23" s="324" t="s">
        <v>482</v>
      </c>
      <c r="C23" s="668"/>
      <c r="D23" s="319" t="str">
        <f>2+3+$L$8 &amp; "+1d20"</f>
        <v>27+1d20</v>
      </c>
      <c r="E23" s="320" t="str">
        <f>2+3+$L$8+2 &amp; "+1d20"</f>
        <v>29+1d20</v>
      </c>
      <c r="F23" s="319" t="str">
        <f>2+3+$L$8 &amp; "+1d20"</f>
        <v>27+1d20</v>
      </c>
      <c r="G23" s="321" t="str">
        <f>2+3+$L$8+2 &amp; "+1d20"</f>
        <v>29+1d20</v>
      </c>
    </row>
    <row r="24" spans="1:11" s="287" customFormat="1" ht="18" customHeight="1">
      <c r="A24" s="631" t="s">
        <v>113</v>
      </c>
      <c r="B24" s="257" t="s">
        <v>4</v>
      </c>
      <c r="C24" s="233" t="str">
        <f>IF($M$13 = 0,"", $M$13)</f>
        <v>光輝</v>
      </c>
      <c r="D24" s="234" t="str">
        <f>$L$13 &amp; "+" &amp; $I$13 &amp; "d" &amp; $K$13</f>
        <v>11+1d4</v>
      </c>
      <c r="E24" s="234" t="str">
        <f>$L$13 &amp; "+" &amp; $I$13 &amp; "d" &amp; $K$13</f>
        <v>11+1d4</v>
      </c>
      <c r="F24" s="234" t="str">
        <f>$L$13+3 &amp; "+" &amp; $I$13 &amp; "d" &amp; $K$13</f>
        <v>14+1d4</v>
      </c>
      <c r="G24" s="235" t="str">
        <f>$L$13+3 &amp; "+" &amp; $I$13 &amp; "d" &amp; $K$13</f>
        <v>14+1d4</v>
      </c>
    </row>
    <row r="25" spans="1:11" s="287" customFormat="1" ht="18" customHeight="1">
      <c r="A25" s="632"/>
      <c r="B25" s="359" t="s">
        <v>3</v>
      </c>
      <c r="C25" s="360" t="str">
        <f>IF($M$14 = 0,"", $M$14)</f>
        <v>光輝</v>
      </c>
      <c r="D25" s="361" t="str">
        <f>$L$14 &amp; "+2d6" &amp; IF($I$14 = 0,"","+" &amp; $I$14 &amp; "d" &amp; $K$14)</f>
        <v>15+2d6+5d12</v>
      </c>
      <c r="E25" s="361" t="str">
        <f>$L$14 &amp; "+2d6" &amp; IF($I$14 = 0,"","+" &amp; $I$14 &amp; "d" &amp; $K$14)</f>
        <v>15+2d6+5d12</v>
      </c>
      <c r="F25" s="361" t="str">
        <f>$L$14+3 &amp; "+2d6" &amp; IF($I$14 = 0,"","+" &amp; $I$14 &amp; "d" &amp; $K$14)</f>
        <v>18+2d6+5d12</v>
      </c>
      <c r="G25" s="363" t="str">
        <f>$L$14+3 &amp; "+2d6" &amp; IF($I$14 = 0,"","+" &amp; $I$14 &amp; "d" &amp; $K$14)</f>
        <v>18+2d6+5d12</v>
      </c>
    </row>
    <row r="26" spans="1:11" s="287" customFormat="1" ht="18" customHeight="1">
      <c r="A26" s="632"/>
      <c r="B26" s="359" t="s">
        <v>982</v>
      </c>
      <c r="C26" s="360" t="str">
        <f>IF($M$14 = 0,"", $M$14)</f>
        <v>光輝</v>
      </c>
      <c r="D26" s="361" t="str">
        <f>$L$15 &amp; "+2d6" &amp; IF($I$15 = 0,"","+" &amp; $I$15 &amp; "d" &amp; $K$15)</f>
        <v>15+2d6+7d12</v>
      </c>
      <c r="E26" s="361" t="str">
        <f>$L$15 &amp; "+2d6" &amp; IF($I$15 = 0,"","+" &amp; $I$15 &amp; "d" &amp; $K$15)</f>
        <v>15+2d6+7d12</v>
      </c>
      <c r="F26" s="361" t="str">
        <f>$L$15+3 &amp; "+2d6" &amp; IF($I$15 = 0,"","+" &amp; $I$15 &amp; "d" &amp; $K$15)</f>
        <v>18+2d6+7d12</v>
      </c>
      <c r="G26" s="363" t="str">
        <f>$L$15+3 &amp; "+2d6" &amp; IF($I$15 = 0,"","+" &amp; $I$15 &amp; "d" &amp; $K$15)</f>
        <v>18+2d6+7d12</v>
      </c>
    </row>
    <row r="27" spans="1:11" s="287" customFormat="1" ht="18" customHeight="1" thickBot="1">
      <c r="A27" s="633"/>
      <c r="B27" s="514" t="s">
        <v>981</v>
      </c>
      <c r="C27" s="507" t="str">
        <f>IF($M$14 = 0,"", $M$14)</f>
        <v>光輝</v>
      </c>
      <c r="D27" s="508">
        <f>$M$15+12</f>
        <v>111</v>
      </c>
      <c r="E27" s="508">
        <f>$M$15+12</f>
        <v>111</v>
      </c>
      <c r="F27" s="508">
        <f>$M$15+3+12</f>
        <v>114</v>
      </c>
      <c r="G27" s="509">
        <f>$M$15+3+12</f>
        <v>114</v>
      </c>
    </row>
    <row r="28" spans="1:11" s="287" customFormat="1" ht="18" customHeight="1">
      <c r="A28" s="631" t="s">
        <v>477</v>
      </c>
      <c r="B28" s="257" t="s">
        <v>4</v>
      </c>
      <c r="C28" s="233" t="str">
        <f>IF($M$13 = 0,"", $M$13)</f>
        <v>光輝</v>
      </c>
      <c r="D28" s="234" t="str">
        <f>2+$L$13 &amp; "+" &amp; $I$13 &amp; "d" &amp; $K$13</f>
        <v>13+1d4</v>
      </c>
      <c r="E28" s="234" t="str">
        <f>2+$L$13 &amp; "+" &amp; $I$13 &amp; "d" &amp; $K$13</f>
        <v>13+1d4</v>
      </c>
      <c r="F28" s="234" t="str">
        <f>2+$L$13+3 &amp; "+" &amp; $I$13 &amp; "d" &amp; $K$13</f>
        <v>16+1d4</v>
      </c>
      <c r="G28" s="235" t="str">
        <f>2+$L$13+3 &amp; "+" &amp; $I$13 &amp; "d" &amp; $K$13</f>
        <v>16+1d4</v>
      </c>
    </row>
    <row r="29" spans="1:11" s="287" customFormat="1" ht="18" customHeight="1">
      <c r="A29" s="632"/>
      <c r="B29" s="359" t="s">
        <v>3</v>
      </c>
      <c r="C29" s="360" t="str">
        <f>IF($M$14 = 0,"", $M$14)</f>
        <v>光輝</v>
      </c>
      <c r="D29" s="361" t="str">
        <f>2+$L$14 &amp; "+2d6" &amp; IF($I$14 =2+ 0,"","+" &amp; $I$14 &amp; "d" &amp; $K$14)</f>
        <v>17+2d6+5d12</v>
      </c>
      <c r="E29" s="361" t="str">
        <f>2+$L$14 &amp; "+2d6" &amp; IF($I$14 =2+ 0,"","+" &amp; $I$14 &amp; "d" &amp; $K$14)</f>
        <v>17+2d6+5d12</v>
      </c>
      <c r="F29" s="361" t="str">
        <f>2+$L$14+3 &amp; "+2d6" &amp; IF($I$14 =2+ 0,"","+" &amp; $I$14 &amp; "d" &amp; $K$14)</f>
        <v>20+2d6+5d12</v>
      </c>
      <c r="G29" s="363" t="str">
        <f>2+$L$14+3 &amp; "+2d6" &amp; IF($I$14 =2+ 0,"","+" &amp; $I$14 &amp; "d" &amp; $K$14)</f>
        <v>20+2d6+5d12</v>
      </c>
    </row>
    <row r="30" spans="1:11" s="287" customFormat="1" ht="18" customHeight="1">
      <c r="A30" s="632"/>
      <c r="B30" s="359" t="s">
        <v>982</v>
      </c>
      <c r="C30" s="360" t="str">
        <f>IF($M$14 = 0,"", $M$14)</f>
        <v>光輝</v>
      </c>
      <c r="D30" s="361" t="str">
        <f>2+$L$15 &amp; "+2d6" &amp; IF($I$15 =2+ 0,"","+" &amp; $I$15 &amp; "d" &amp; $K$15)</f>
        <v>17+2d6+7d12</v>
      </c>
      <c r="E30" s="361" t="str">
        <f>2+$L$15 &amp; "+2d6" &amp; IF($I$15 =2+ 0,"","+" &amp; $I$15 &amp; "d" &amp; $K$15)</f>
        <v>17+2d6+7d12</v>
      </c>
      <c r="F30" s="361" t="str">
        <f>2+$L$15+3 &amp; "+2d6" &amp; IF($I$15 =2+ 0,"","+" &amp; $I$15 &amp; "d" &amp; $K$15)</f>
        <v>20+2d6+7d12</v>
      </c>
      <c r="G30" s="363" t="str">
        <f>2+$L$15+3 &amp; "+2d6" &amp; IF($I$15 =2+ 0,"","+" &amp; $I$15 &amp; "d" &amp; $K$15)</f>
        <v>20+2d6+7d12</v>
      </c>
    </row>
    <row r="31" spans="1:11" s="287" customFormat="1" ht="18" customHeight="1" thickBot="1">
      <c r="A31" s="633"/>
      <c r="B31" s="514" t="s">
        <v>981</v>
      </c>
      <c r="C31" s="507" t="str">
        <f>IF($M$14 = 0,"", $M$14)</f>
        <v>光輝</v>
      </c>
      <c r="D31" s="508">
        <f>2+$M$15+12</f>
        <v>113</v>
      </c>
      <c r="E31" s="508">
        <f>2+$M$15+12</f>
        <v>113</v>
      </c>
      <c r="F31" s="508">
        <f>2+$M$15+3+12</f>
        <v>116</v>
      </c>
      <c r="G31" s="509">
        <f>2+$M$15+3+12</f>
        <v>116</v>
      </c>
    </row>
    <row r="32" spans="1:11" ht="8.25" customHeight="1">
      <c r="A32" s="523"/>
      <c r="B32" s="523"/>
      <c r="C32" s="523"/>
      <c r="D32" s="523"/>
      <c r="E32" s="523"/>
      <c r="F32" s="523"/>
      <c r="G32" s="523"/>
    </row>
    <row r="33" spans="1:13" ht="14.25">
      <c r="A33" s="517" t="s">
        <v>148</v>
      </c>
      <c r="B33" s="517"/>
      <c r="C33" s="517"/>
      <c r="D33" s="517"/>
      <c r="E33" s="517"/>
      <c r="F33" s="517"/>
      <c r="G33" s="517"/>
      <c r="I33" s="133"/>
      <c r="J33" s="133"/>
      <c r="K33" s="133"/>
    </row>
    <row r="34" spans="1:13" ht="14.25">
      <c r="A34" s="517" t="s">
        <v>149</v>
      </c>
      <c r="B34" s="517"/>
      <c r="C34" s="517"/>
      <c r="D34" s="517"/>
      <c r="E34" s="517"/>
      <c r="F34" s="517"/>
      <c r="G34" s="517"/>
      <c r="I34" s="133"/>
      <c r="J34" s="133"/>
      <c r="K34" s="133"/>
    </row>
    <row r="35" spans="1:13" s="231" customFormat="1" ht="14.25">
      <c r="A35" s="517" t="s">
        <v>344</v>
      </c>
      <c r="B35" s="517"/>
      <c r="C35" s="517"/>
      <c r="D35" s="517"/>
      <c r="E35" s="517"/>
      <c r="F35" s="517"/>
      <c r="G35" s="517"/>
      <c r="H35" s="232"/>
    </row>
    <row r="36" spans="1:13" ht="14.25">
      <c r="A36" s="517" t="s">
        <v>147</v>
      </c>
      <c r="B36" s="517"/>
      <c r="C36" s="517"/>
      <c r="D36" s="517"/>
      <c r="E36" s="517"/>
      <c r="F36" s="517"/>
      <c r="G36" s="517"/>
      <c r="I36" s="133"/>
      <c r="J36" s="133"/>
      <c r="K36" s="133"/>
    </row>
    <row r="37" spans="1:13" s="287" customFormat="1" ht="14.25">
      <c r="A37" s="517" t="s">
        <v>437</v>
      </c>
      <c r="B37" s="517"/>
      <c r="C37" s="517"/>
      <c r="D37" s="517"/>
      <c r="E37" s="517"/>
      <c r="F37" s="517"/>
      <c r="G37" s="517"/>
      <c r="H37" s="288"/>
    </row>
    <row r="38" spans="1:13" s="287" customFormat="1" ht="13.5" customHeight="1">
      <c r="A38" s="529" t="s">
        <v>506</v>
      </c>
      <c r="B38" s="529"/>
      <c r="C38" s="529"/>
      <c r="D38" s="529"/>
      <c r="E38" s="529"/>
      <c r="F38" s="529"/>
      <c r="G38" s="529"/>
      <c r="H38" s="288"/>
      <c r="I38" s="288"/>
      <c r="J38" s="288"/>
      <c r="K38" s="288"/>
    </row>
    <row r="39" spans="1:13" s="287" customFormat="1" ht="13.5" customHeight="1">
      <c r="A39" s="525" t="s">
        <v>507</v>
      </c>
      <c r="B39" s="525"/>
      <c r="C39" s="525"/>
      <c r="D39" s="525"/>
      <c r="E39" s="525"/>
      <c r="F39" s="525"/>
      <c r="G39" s="525"/>
      <c r="H39" s="288"/>
      <c r="I39" s="288"/>
      <c r="J39" s="288"/>
      <c r="K39" s="288"/>
    </row>
    <row r="40" spans="1:13" s="287" customFormat="1" ht="14.25">
      <c r="A40" s="517" t="s">
        <v>973</v>
      </c>
      <c r="B40" s="517"/>
      <c r="C40" s="517"/>
      <c r="D40" s="517"/>
      <c r="E40" s="517"/>
      <c r="F40" s="517"/>
      <c r="G40" s="517"/>
      <c r="H40" s="288"/>
    </row>
    <row r="41" spans="1:13" s="287" customFormat="1" ht="13.5" customHeight="1">
      <c r="A41" s="529" t="s">
        <v>440</v>
      </c>
      <c r="B41" s="529"/>
      <c r="C41" s="529"/>
      <c r="D41" s="529"/>
      <c r="E41" s="529"/>
      <c r="F41" s="529"/>
      <c r="G41" s="529"/>
      <c r="H41" s="288"/>
      <c r="I41" s="288"/>
      <c r="J41" s="288"/>
      <c r="K41" s="288"/>
    </row>
    <row r="42" spans="1:13" s="287" customFormat="1" ht="13.5" customHeight="1">
      <c r="A42" s="525" t="s">
        <v>441</v>
      </c>
      <c r="B42" s="525"/>
      <c r="C42" s="525"/>
      <c r="D42" s="525"/>
      <c r="E42" s="525"/>
      <c r="F42" s="525"/>
      <c r="G42" s="525"/>
      <c r="H42" s="288"/>
      <c r="I42" s="288"/>
      <c r="J42" s="288"/>
      <c r="K42" s="288"/>
    </row>
    <row r="43" spans="1:13" s="287" customFormat="1" ht="13.5" customHeight="1">
      <c r="A43" s="525" t="s">
        <v>442</v>
      </c>
      <c r="B43" s="525"/>
      <c r="C43" s="525"/>
      <c r="D43" s="525"/>
      <c r="E43" s="525"/>
      <c r="F43" s="525"/>
      <c r="G43" s="525"/>
      <c r="H43" s="288"/>
      <c r="I43" s="288"/>
      <c r="J43" s="288"/>
      <c r="K43" s="288"/>
    </row>
    <row r="44" spans="1:13" ht="8.25" customHeight="1">
      <c r="A44" s="604"/>
      <c r="B44" s="604"/>
      <c r="C44" s="604"/>
      <c r="D44" s="604"/>
      <c r="E44" s="604"/>
      <c r="F44" s="604"/>
      <c r="G44" s="604"/>
    </row>
    <row r="45" spans="1:13">
      <c r="A45" s="619" t="s">
        <v>48</v>
      </c>
      <c r="B45" s="620"/>
      <c r="C45" s="620"/>
      <c r="D45" s="620"/>
      <c r="E45" s="620"/>
      <c r="F45" s="620"/>
      <c r="G45" s="621"/>
    </row>
    <row r="46" spans="1:13" s="288" customFormat="1" ht="6" customHeight="1">
      <c r="A46" s="614"/>
      <c r="B46" s="520"/>
      <c r="C46" s="520"/>
      <c r="D46" s="520"/>
      <c r="E46" s="520"/>
      <c r="F46" s="520"/>
      <c r="G46" s="615"/>
      <c r="L46" s="287"/>
      <c r="M46" s="287"/>
    </row>
    <row r="47" spans="1:13" s="88" customFormat="1" ht="13.5" customHeight="1">
      <c r="A47" s="608" t="s">
        <v>499</v>
      </c>
      <c r="B47" s="609"/>
      <c r="C47" s="609"/>
      <c r="D47" s="609"/>
      <c r="E47" s="609"/>
      <c r="F47" s="609"/>
      <c r="G47" s="610"/>
      <c r="L47" s="133"/>
      <c r="M47" s="133"/>
    </row>
    <row r="48" spans="1:13" s="88" customFormat="1" ht="6" customHeight="1">
      <c r="A48" s="614"/>
      <c r="B48" s="520"/>
      <c r="C48" s="520"/>
      <c r="D48" s="520"/>
      <c r="E48" s="520"/>
      <c r="F48" s="520"/>
      <c r="G48" s="615"/>
      <c r="L48" s="133"/>
      <c r="M48" s="133"/>
    </row>
    <row r="49" spans="1:13" s="88" customFormat="1" ht="13.5" customHeight="1">
      <c r="A49" s="614" t="s">
        <v>433</v>
      </c>
      <c r="B49" s="520"/>
      <c r="C49" s="520"/>
      <c r="D49" s="520"/>
      <c r="E49" s="520"/>
      <c r="F49" s="520"/>
      <c r="G49" s="615"/>
      <c r="L49" s="133"/>
      <c r="M49" s="133"/>
    </row>
    <row r="50" spans="1:13" s="88" customFormat="1" ht="13.5" customHeight="1">
      <c r="A50" s="614" t="s">
        <v>434</v>
      </c>
      <c r="B50" s="520"/>
      <c r="C50" s="520"/>
      <c r="D50" s="520"/>
      <c r="E50" s="520"/>
      <c r="F50" s="520"/>
      <c r="G50" s="615"/>
      <c r="L50" s="133"/>
      <c r="M50" s="133"/>
    </row>
    <row r="51" spans="1:13" s="88" customFormat="1" ht="13.5" customHeight="1">
      <c r="A51" s="614" t="s">
        <v>435</v>
      </c>
      <c r="B51" s="520"/>
      <c r="C51" s="520"/>
      <c r="D51" s="520"/>
      <c r="E51" s="520"/>
      <c r="F51" s="520"/>
      <c r="G51" s="615"/>
      <c r="L51" s="133"/>
      <c r="M51" s="133"/>
    </row>
    <row r="52" spans="1:13" s="288" customFormat="1" ht="5.25" customHeight="1">
      <c r="A52" s="614" t="s">
        <v>443</v>
      </c>
      <c r="B52" s="520"/>
      <c r="C52" s="520"/>
      <c r="D52" s="520"/>
      <c r="E52" s="520"/>
      <c r="F52" s="520"/>
      <c r="G52" s="615"/>
      <c r="L52" s="287"/>
      <c r="M52" s="287"/>
    </row>
    <row r="53" spans="1:13" s="88" customFormat="1" ht="13.5" customHeight="1">
      <c r="A53" s="614" t="s">
        <v>444</v>
      </c>
      <c r="B53" s="520"/>
      <c r="C53" s="520"/>
      <c r="D53" s="520"/>
      <c r="E53" s="520"/>
      <c r="F53" s="520"/>
      <c r="G53" s="615"/>
      <c r="L53" s="133"/>
      <c r="M53" s="133"/>
    </row>
    <row r="54" spans="1:13" s="88" customFormat="1" ht="5.25" customHeight="1">
      <c r="A54" s="614" t="s">
        <v>443</v>
      </c>
      <c r="B54" s="520"/>
      <c r="C54" s="520"/>
      <c r="D54" s="520"/>
      <c r="E54" s="520"/>
      <c r="F54" s="520"/>
      <c r="G54" s="615"/>
      <c r="L54" s="133"/>
      <c r="M54" s="133"/>
    </row>
    <row r="55" spans="1:13" s="88" customFormat="1" ht="13.5" customHeight="1">
      <c r="A55" s="614" t="s">
        <v>500</v>
      </c>
      <c r="B55" s="520"/>
      <c r="C55" s="520"/>
      <c r="D55" s="520"/>
      <c r="E55" s="520"/>
      <c r="F55" s="520"/>
      <c r="G55" s="615"/>
      <c r="L55" s="133"/>
      <c r="M55" s="133"/>
    </row>
    <row r="56" spans="1:13" s="88" customFormat="1" ht="5.25" customHeight="1">
      <c r="A56" s="614" t="s">
        <v>443</v>
      </c>
      <c r="B56" s="520"/>
      <c r="C56" s="520"/>
      <c r="D56" s="520"/>
      <c r="E56" s="520"/>
      <c r="F56" s="520"/>
      <c r="G56" s="615"/>
      <c r="L56" s="133"/>
      <c r="M56" s="133"/>
    </row>
    <row r="57" spans="1:13" s="88" customFormat="1" ht="13.5" customHeight="1">
      <c r="A57" s="614" t="s">
        <v>445</v>
      </c>
      <c r="B57" s="520"/>
      <c r="C57" s="520"/>
      <c r="D57" s="520"/>
      <c r="E57" s="520"/>
      <c r="F57" s="520"/>
      <c r="G57" s="615"/>
      <c r="L57" s="133"/>
      <c r="M57" s="133"/>
    </row>
    <row r="58" spans="1:13" s="88" customFormat="1" ht="5.25" customHeight="1">
      <c r="A58" s="614" t="s">
        <v>443</v>
      </c>
      <c r="B58" s="520"/>
      <c r="C58" s="520"/>
      <c r="D58" s="520"/>
      <c r="E58" s="520"/>
      <c r="F58" s="520"/>
      <c r="G58" s="615"/>
      <c r="L58" s="133"/>
      <c r="M58" s="133"/>
    </row>
    <row r="59" spans="1:13" s="286" customFormat="1" ht="13.5" customHeight="1">
      <c r="A59" s="614" t="s">
        <v>501</v>
      </c>
      <c r="B59" s="520"/>
      <c r="C59" s="520"/>
      <c r="D59" s="520"/>
      <c r="E59" s="520"/>
      <c r="F59" s="520"/>
      <c r="G59" s="615"/>
      <c r="L59" s="285"/>
      <c r="M59" s="285"/>
    </row>
    <row r="60" spans="1:13" s="286" customFormat="1" ht="13.5" customHeight="1">
      <c r="A60" s="614" t="s">
        <v>436</v>
      </c>
      <c r="B60" s="520"/>
      <c r="C60" s="520"/>
      <c r="D60" s="520"/>
      <c r="E60" s="520"/>
      <c r="F60" s="520"/>
      <c r="G60" s="615"/>
      <c r="L60" s="285"/>
      <c r="M60" s="285"/>
    </row>
    <row r="61" spans="1:13" s="88" customFormat="1" ht="10.5" customHeight="1">
      <c r="A61" s="614"/>
      <c r="B61" s="520"/>
      <c r="C61" s="520"/>
      <c r="D61" s="520"/>
      <c r="E61" s="520"/>
      <c r="F61" s="520"/>
      <c r="G61" s="615"/>
      <c r="L61" s="133"/>
      <c r="M61" s="133"/>
    </row>
    <row r="62" spans="1:13" s="88" customFormat="1" ht="21">
      <c r="A62" s="94" t="s">
        <v>114</v>
      </c>
      <c r="B62" s="151">
        <f>$B$1</f>
        <v>1</v>
      </c>
      <c r="C62" s="95" t="s">
        <v>39</v>
      </c>
      <c r="D62" s="96" t="str">
        <f>$E$1</f>
        <v>無限回</v>
      </c>
      <c r="E62" s="616" t="str">
        <f>$B$2</f>
        <v>ハンド・オヴ・レイディアンス</v>
      </c>
      <c r="F62" s="617"/>
      <c r="G62" s="618"/>
      <c r="L62" s="133"/>
      <c r="M62" s="133"/>
    </row>
  </sheetData>
  <mergeCells count="57">
    <mergeCell ref="A24:A27"/>
    <mergeCell ref="A28:A31"/>
    <mergeCell ref="A38:G38"/>
    <mergeCell ref="A39:G39"/>
    <mergeCell ref="A40:G40"/>
    <mergeCell ref="A42:G42"/>
    <mergeCell ref="A43:G43"/>
    <mergeCell ref="A51:G51"/>
    <mergeCell ref="A49:G49"/>
    <mergeCell ref="A50:G50"/>
    <mergeCell ref="A44:G44"/>
    <mergeCell ref="A45:G45"/>
    <mergeCell ref="A48:G48"/>
    <mergeCell ref="A61:G61"/>
    <mergeCell ref="E62:G62"/>
    <mergeCell ref="A53:G53"/>
    <mergeCell ref="A54:G54"/>
    <mergeCell ref="A56:G56"/>
    <mergeCell ref="A55:G55"/>
    <mergeCell ref="A57:G57"/>
    <mergeCell ref="A58:G58"/>
    <mergeCell ref="A59:G59"/>
    <mergeCell ref="A60:G60"/>
    <mergeCell ref="A52:G52"/>
    <mergeCell ref="A36:G36"/>
    <mergeCell ref="A34:G34"/>
    <mergeCell ref="B16:G16"/>
    <mergeCell ref="A32:G32"/>
    <mergeCell ref="A18:C19"/>
    <mergeCell ref="D18:E18"/>
    <mergeCell ref="F18:G18"/>
    <mergeCell ref="A20:A23"/>
    <mergeCell ref="C20:C23"/>
    <mergeCell ref="A33:G33"/>
    <mergeCell ref="A35:G35"/>
    <mergeCell ref="A37:G37"/>
    <mergeCell ref="A47:G47"/>
    <mergeCell ref="A41:G41"/>
    <mergeCell ref="A46:G46"/>
    <mergeCell ref="B12:G12"/>
    <mergeCell ref="J11:K11"/>
    <mergeCell ref="B13:G13"/>
    <mergeCell ref="B14:G14"/>
    <mergeCell ref="B15:G15"/>
    <mergeCell ref="J9:K9"/>
    <mergeCell ref="B11:G11"/>
    <mergeCell ref="B1:C1"/>
    <mergeCell ref="F1:G1"/>
    <mergeCell ref="B2:G2"/>
    <mergeCell ref="B4:G4"/>
    <mergeCell ref="B5:G5"/>
    <mergeCell ref="B6:D6"/>
    <mergeCell ref="B7:D7"/>
    <mergeCell ref="B8:G8"/>
    <mergeCell ref="B9:G9"/>
    <mergeCell ref="B10:G10"/>
    <mergeCell ref="H4:M4"/>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K8</xm:sqref>
        </x14:dataValidation>
        <x14:dataValidation type="list" allowBlank="1" showInputMessage="1" showErrorMessage="1">
          <x14:formula1>
            <xm:f>基本!$D$27:$D$31</xm:f>
          </x14:formula1>
          <xm:sqref>I7</xm:sqref>
        </x14:dataValidation>
        <x14:dataValidation type="list" allowBlank="1" showInputMessage="1" showErrorMessage="1">
          <x14:formula1>
            <xm:f>基本!$A$5:$A$10</xm:f>
          </x14:formula1>
          <xm:sqref>I8 I10 K15</xm:sqref>
        </x14:dataValidation>
        <x14:dataValidation type="list" allowBlank="1" showInputMessage="1" showErrorMessage="1">
          <x14:formula1>
            <xm:f>基本!$B$27:$B$31</xm:f>
          </x14:formula1>
          <xm:sqref>I6</xm:sqref>
        </x14:dataValidation>
        <x14:dataValidation type="list" allowBlank="1" showInputMessage="1" showErrorMessage="1">
          <x14:formula1>
            <xm:f>基本!$A$27:$A$33</xm:f>
          </x14:formula1>
          <xm:sqref>I5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R56"/>
  <sheetViews>
    <sheetView zoomScaleNormal="100" workbookViewId="0">
      <selection activeCell="B2" sqref="B2:G2"/>
    </sheetView>
  </sheetViews>
  <sheetFormatPr defaultRowHeight="13.5"/>
  <cols>
    <col min="1" max="1" width="7.875" style="47" customWidth="1"/>
    <col min="2" max="2" width="8.5" style="47" customWidth="1"/>
    <col min="3" max="3" width="6.625" style="47" customWidth="1"/>
    <col min="4" max="4" width="15.75" style="47" customWidth="1"/>
    <col min="5" max="6" width="15.75" style="27" customWidth="1"/>
    <col min="7" max="7" width="18.25" style="27" customWidth="1"/>
    <col min="8" max="8" width="17.375" style="27" customWidth="1"/>
    <col min="9" max="9" width="14.625" style="27" customWidth="1"/>
    <col min="10" max="10" width="8.375" style="27" customWidth="1"/>
    <col min="11" max="11" width="7.5" style="27" customWidth="1"/>
    <col min="12" max="12" width="7.875" style="47" customWidth="1"/>
    <col min="13" max="13" width="7.875" style="133" customWidth="1"/>
    <col min="14" max="14" width="9.25" style="47" customWidth="1"/>
    <col min="15" max="15" width="12.375" style="47" customWidth="1"/>
    <col min="16" max="16384" width="9" style="47"/>
  </cols>
  <sheetData>
    <row r="1" spans="1:18" ht="21">
      <c r="A1" s="84" t="s">
        <v>114</v>
      </c>
      <c r="B1" s="640">
        <v>1</v>
      </c>
      <c r="C1" s="641"/>
      <c r="D1" s="12" t="s">
        <v>39</v>
      </c>
      <c r="E1" s="11" t="s">
        <v>40</v>
      </c>
      <c r="F1" s="625"/>
      <c r="G1" s="626"/>
      <c r="H1" s="31" t="s">
        <v>54</v>
      </c>
    </row>
    <row r="2" spans="1:18" ht="24.75" customHeight="1">
      <c r="A2" s="12" t="s">
        <v>0</v>
      </c>
      <c r="B2" s="627" t="s">
        <v>345</v>
      </c>
      <c r="C2" s="627"/>
      <c r="D2" s="627"/>
      <c r="E2" s="627"/>
      <c r="F2" s="627"/>
      <c r="G2" s="627"/>
      <c r="H2" s="31" t="s">
        <v>55</v>
      </c>
    </row>
    <row r="3" spans="1:18" ht="19.5" customHeight="1">
      <c r="A3" s="30" t="s">
        <v>47</v>
      </c>
      <c r="B3" s="27"/>
      <c r="C3" s="27"/>
      <c r="D3" s="27"/>
      <c r="I3" s="31"/>
    </row>
    <row r="4" spans="1:18">
      <c r="A4" s="72" t="s">
        <v>45</v>
      </c>
      <c r="B4" s="628" t="s">
        <v>282</v>
      </c>
      <c r="C4" s="629"/>
      <c r="D4" s="629"/>
      <c r="E4" s="629"/>
      <c r="F4" s="629"/>
      <c r="G4" s="630"/>
      <c r="H4" s="539" t="s">
        <v>980</v>
      </c>
      <c r="I4" s="540"/>
      <c r="J4" s="540"/>
      <c r="K4" s="540"/>
      <c r="L4" s="540"/>
      <c r="M4" s="541"/>
    </row>
    <row r="5" spans="1:18">
      <c r="A5" s="73" t="s">
        <v>38</v>
      </c>
      <c r="B5" s="628" t="s">
        <v>346</v>
      </c>
      <c r="C5" s="629"/>
      <c r="D5" s="629"/>
      <c r="E5" s="629"/>
      <c r="F5" s="629"/>
      <c r="G5" s="630"/>
      <c r="H5" s="48" t="s">
        <v>42</v>
      </c>
      <c r="I5" s="50" t="s">
        <v>70</v>
      </c>
      <c r="J5" s="50">
        <v>20</v>
      </c>
    </row>
    <row r="6" spans="1:18">
      <c r="A6" s="73" t="s">
        <v>7</v>
      </c>
      <c r="B6" s="628" t="s">
        <v>5</v>
      </c>
      <c r="C6" s="629"/>
      <c r="D6" s="630"/>
      <c r="E6" s="65" t="s">
        <v>42</v>
      </c>
      <c r="F6" s="64" t="str">
        <f>$I$5</f>
        <v>遠隔</v>
      </c>
      <c r="G6" s="272">
        <f>IF($J$5 = 0,"", $J$5)</f>
        <v>20</v>
      </c>
      <c r="H6" s="48" t="s">
        <v>65</v>
      </c>
      <c r="I6" s="50"/>
      <c r="J6" s="50"/>
    </row>
    <row r="7" spans="1:18">
      <c r="A7" s="74" t="s">
        <v>6</v>
      </c>
      <c r="B7" s="628" t="s">
        <v>90</v>
      </c>
      <c r="C7" s="629"/>
      <c r="D7" s="630"/>
      <c r="E7" s="65" t="s">
        <v>65</v>
      </c>
      <c r="F7" s="64" t="str">
        <f>IF($I$6 = 0,"", $I$6)</f>
        <v/>
      </c>
      <c r="G7" s="64" t="str">
        <f>IF($J$6 = 0,"", $J$6)</f>
        <v/>
      </c>
      <c r="H7" s="48" t="s">
        <v>84</v>
      </c>
      <c r="I7" s="129" t="s">
        <v>112</v>
      </c>
      <c r="J7" s="31" t="s">
        <v>61</v>
      </c>
      <c r="L7" s="230" t="s">
        <v>343</v>
      </c>
    </row>
    <row r="8" spans="1:18">
      <c r="A8" s="74" t="s">
        <v>8</v>
      </c>
      <c r="B8" s="655" t="s">
        <v>350</v>
      </c>
      <c r="C8" s="653"/>
      <c r="D8" s="653"/>
      <c r="E8" s="653"/>
      <c r="F8" s="653"/>
      <c r="G8" s="654"/>
      <c r="H8" s="48" t="s">
        <v>50</v>
      </c>
      <c r="I8" s="50" t="s">
        <v>16</v>
      </c>
      <c r="J8" s="49">
        <f>IF($I$8 = "筋力",基本!$C$5,IF($I$8 = "耐久力",基本!$C$6,IF($I$8 = "敏捷力",基本!$C$7,IF($I$8 = "知力",基本!$C$8,IF($I$8 = "判断力",基本!$C$9,IF($I$8 = "魅力",基本!$C$10,""))))))</f>
        <v>7</v>
      </c>
      <c r="K8" s="50" t="s">
        <v>21</v>
      </c>
      <c r="L8" s="229">
        <f>$J$8+$L$9+$I$9</f>
        <v>22</v>
      </c>
    </row>
    <row r="9" spans="1:18" ht="14.25" customHeight="1">
      <c r="A9" s="76" t="s">
        <v>123</v>
      </c>
      <c r="B9" s="642" t="s">
        <v>347</v>
      </c>
      <c r="C9" s="643"/>
      <c r="D9" s="643"/>
      <c r="E9" s="643"/>
      <c r="F9" s="643"/>
      <c r="G9" s="644"/>
      <c r="H9" s="48" t="s">
        <v>57</v>
      </c>
      <c r="I9" s="50">
        <v>0</v>
      </c>
      <c r="J9" s="539" t="s">
        <v>52</v>
      </c>
      <c r="K9" s="541"/>
      <c r="L9" s="49">
        <f>IF($I$7=基本!$F$4,基本!$O$7,IF($I$7=基本!$F$13,基本!$O$16,IF($I$7=基本!$F$22,基本!$O$25,IF($I$7=基本!$F$31,基本!$O$34,IF($I$7=基本!$F$40,基本!$O$43,0)))))</f>
        <v>15</v>
      </c>
    </row>
    <row r="10" spans="1:18" ht="14.25" customHeight="1">
      <c r="A10" s="76"/>
      <c r="B10" s="645" t="s">
        <v>348</v>
      </c>
      <c r="C10" s="646"/>
      <c r="D10" s="646"/>
      <c r="E10" s="646"/>
      <c r="F10" s="646"/>
      <c r="G10" s="647"/>
      <c r="H10" s="33" t="s">
        <v>51</v>
      </c>
      <c r="I10" s="50" t="s">
        <v>16</v>
      </c>
      <c r="J10" s="35">
        <f>IF($I$10 = "筋力",基本!$C$5,IF($I$10 = "耐久力",基本!$C$6,IF($I$10 = "敏捷力",基本!$C$7,IF($I$10 = "知力",基本!$C$8,IF($I$10 = "判断力",基本!$C$9,IF($I$10 = "魅力",基本!$C$10,""))))))</f>
        <v>7</v>
      </c>
      <c r="K10" s="503" t="s">
        <v>15</v>
      </c>
      <c r="L10" s="504">
        <f>IF(K10="",0,VLOOKUP(K10,基本!$A$5:'基本'!$C$10,3,FALSE))</f>
        <v>3</v>
      </c>
    </row>
    <row r="11" spans="1:18" ht="14.25" customHeight="1">
      <c r="A11" s="76"/>
      <c r="B11" s="645" t="s">
        <v>349</v>
      </c>
      <c r="C11" s="646"/>
      <c r="D11" s="646"/>
      <c r="E11" s="646"/>
      <c r="F11" s="646"/>
      <c r="G11" s="647"/>
      <c r="H11" s="48" t="s">
        <v>58</v>
      </c>
      <c r="I11" s="50">
        <v>0</v>
      </c>
      <c r="J11" s="539" t="s">
        <v>53</v>
      </c>
      <c r="K11" s="541"/>
      <c r="L11" s="49">
        <f>IF($I$7=基本!$F$4,基本!$O$9,IF($I$7=基本!$F$13,基本!$O$18,IF($I$7=基本!$F$22,基本!$O$27,IF($I$7=基本!$F$31,基本!$O$36,IF($I$7=基本!$F$40,基本!$O$45,0)))))</f>
        <v>4</v>
      </c>
    </row>
    <row r="12" spans="1:18">
      <c r="A12" s="76"/>
      <c r="B12" s="675" t="s">
        <v>502</v>
      </c>
      <c r="C12" s="646"/>
      <c r="D12" s="646"/>
      <c r="E12" s="646"/>
      <c r="F12" s="646"/>
      <c r="G12" s="647"/>
      <c r="H12" s="288"/>
      <c r="I12" s="288"/>
      <c r="J12" s="287"/>
      <c r="K12" s="287"/>
      <c r="L12" s="230" t="s">
        <v>343</v>
      </c>
      <c r="M12" s="506" t="s">
        <v>59</v>
      </c>
      <c r="N12" s="133"/>
      <c r="O12" s="133"/>
      <c r="P12" s="133"/>
      <c r="Q12" s="133"/>
      <c r="R12" s="133"/>
    </row>
    <row r="13" spans="1:18" ht="9" customHeight="1">
      <c r="A13" s="76"/>
      <c r="B13" s="601"/>
      <c r="C13" s="523"/>
      <c r="D13" s="523"/>
      <c r="E13" s="523"/>
      <c r="F13" s="523"/>
      <c r="G13" s="602"/>
      <c r="H13" s="505" t="s">
        <v>85</v>
      </c>
      <c r="I13" s="503">
        <v>1</v>
      </c>
      <c r="J13" s="505" t="s">
        <v>43</v>
      </c>
      <c r="K13" s="503">
        <v>6</v>
      </c>
      <c r="L13" s="229">
        <f>J10+IF(I13=0,0,L11)+I11</f>
        <v>11</v>
      </c>
      <c r="M13" s="503" t="s">
        <v>73</v>
      </c>
      <c r="N13" s="52"/>
    </row>
    <row r="14" spans="1:18" ht="17.25">
      <c r="A14" s="101"/>
      <c r="B14" s="672" t="s">
        <v>351</v>
      </c>
      <c r="C14" s="673"/>
      <c r="D14" s="673"/>
      <c r="E14" s="673"/>
      <c r="F14" s="673"/>
      <c r="G14" s="674"/>
      <c r="H14" s="505" t="s">
        <v>49</v>
      </c>
      <c r="I14" s="245">
        <f>IF($I$7=基本!$F$4,基本!$L$11,IF($I$7=基本!$F$13,基本!$L$20,IF($I$7=基本!$F$22,基本!$L$29,IF($I$7=基本!$F$31,基本!$L$38,IF($I$7=基本!$F$40,基本!$L$47,0)))))</f>
        <v>5</v>
      </c>
      <c r="J14" s="505" t="s">
        <v>43</v>
      </c>
      <c r="K14" s="245">
        <f>IF($I$7=基本!$F$4,基本!$N$11,IF($I$7=基本!$F$13,基本!$N$20,IF($I$7=基本!$F$22,基本!$N$29,IF($I$7=基本!$F$31,基本!$N$38,IF($I$7=基本!$F$40,基本!$N$47,0)))))</f>
        <v>12</v>
      </c>
      <c r="L14" s="229">
        <f>L13+(I13*K13)</f>
        <v>17</v>
      </c>
      <c r="M14" s="503" t="s">
        <v>73</v>
      </c>
      <c r="N14" s="52"/>
    </row>
    <row r="15" spans="1:18" ht="8.25" customHeight="1">
      <c r="A15" s="76"/>
      <c r="B15" s="645"/>
      <c r="C15" s="646"/>
      <c r="D15" s="646"/>
      <c r="E15" s="646"/>
      <c r="F15" s="646"/>
      <c r="G15" s="647"/>
      <c r="H15" s="505" t="s">
        <v>982</v>
      </c>
      <c r="I15" s="245">
        <f>I14+2</f>
        <v>7</v>
      </c>
      <c r="J15" s="505" t="s">
        <v>43</v>
      </c>
      <c r="K15" s="245">
        <f>IF($I$7=基本!$F$4,基本!$N$11,IF($I$7=基本!$F$13,基本!$N$20,IF($I$7=基本!$F$22,基本!$N$29,IF($I$7=基本!$F$31,基本!$N$38,IF($I$7=基本!$F$40,基本!$N$47,0)))))</f>
        <v>12</v>
      </c>
      <c r="L15" s="229">
        <f>L14</f>
        <v>17</v>
      </c>
      <c r="M15" s="515">
        <f>L15+(I15*K15)</f>
        <v>101</v>
      </c>
    </row>
    <row r="16" spans="1:18" s="87" customFormat="1" ht="0.75" customHeight="1">
      <c r="A16" s="77"/>
      <c r="B16" s="603"/>
      <c r="C16" s="604"/>
      <c r="D16" s="604"/>
      <c r="E16" s="604"/>
      <c r="F16" s="604"/>
      <c r="G16" s="605"/>
      <c r="M16" s="133"/>
    </row>
    <row r="17" spans="1:13" s="126" customFormat="1" ht="14.25" thickBot="1">
      <c r="A17" s="125" t="s">
        <v>46</v>
      </c>
      <c r="E17" s="89"/>
      <c r="F17" s="88"/>
      <c r="G17" s="88"/>
      <c r="M17" s="133"/>
    </row>
    <row r="18" spans="1:13" s="287" customFormat="1" ht="15" customHeight="1">
      <c r="A18" s="656" t="str">
        <f>$B$2</f>
        <v>マントル・オヴ・ジ・インフィデル</v>
      </c>
      <c r="B18" s="657"/>
      <c r="C18" s="658"/>
      <c r="D18" s="662" t="s">
        <v>2</v>
      </c>
      <c r="E18" s="663"/>
      <c r="F18" s="664" t="s">
        <v>479</v>
      </c>
      <c r="G18" s="665"/>
    </row>
    <row r="19" spans="1:13" s="287" customFormat="1" ht="18.75" customHeight="1" thickBot="1">
      <c r="A19" s="659"/>
      <c r="B19" s="660"/>
      <c r="C19" s="661"/>
      <c r="D19" s="312" t="s">
        <v>2</v>
      </c>
      <c r="E19" s="313" t="s">
        <v>1</v>
      </c>
      <c r="F19" s="312" t="s">
        <v>2</v>
      </c>
      <c r="G19" s="314" t="s">
        <v>1</v>
      </c>
    </row>
    <row r="20" spans="1:13" s="287" customFormat="1" ht="24" customHeight="1">
      <c r="A20" s="611" t="s">
        <v>41</v>
      </c>
      <c r="B20" s="315" t="s">
        <v>113</v>
      </c>
      <c r="C20" s="666" t="str">
        <f>$K$8</f>
        <v>意志</v>
      </c>
      <c r="D20" s="316" t="str">
        <f>$L$8 &amp; "+1d20"</f>
        <v>22+1d20</v>
      </c>
      <c r="E20" s="317" t="str">
        <f>$L$8+2 &amp; "+1d20"</f>
        <v>24+1d20</v>
      </c>
      <c r="F20" s="316" t="str">
        <f>$L$8 &amp; "+1d20"</f>
        <v>22+1d20</v>
      </c>
      <c r="G20" s="318" t="str">
        <f>$L$8+2 &amp; "+1d20"</f>
        <v>24+1d20</v>
      </c>
    </row>
    <row r="21" spans="1:13" s="287" customFormat="1" ht="24" customHeight="1">
      <c r="A21" s="612"/>
      <c r="B21" s="332" t="s">
        <v>483</v>
      </c>
      <c r="C21" s="667"/>
      <c r="D21" s="325" t="str">
        <f>2+$L$8 &amp; "+1d20"</f>
        <v>24+1d20</v>
      </c>
      <c r="E21" s="326" t="str">
        <f>2+$L$8+2 &amp; "+1d20"</f>
        <v>26+1d20</v>
      </c>
      <c r="F21" s="325" t="str">
        <f>2+$L$8 &amp; "+1d20"</f>
        <v>24+1d20</v>
      </c>
      <c r="G21" s="327" t="str">
        <f>2+$L$8+2 &amp; "+1d20"</f>
        <v>26+1d20</v>
      </c>
    </row>
    <row r="22" spans="1:13" s="287" customFormat="1" ht="24" customHeight="1">
      <c r="A22" s="612"/>
      <c r="B22" s="328" t="s">
        <v>476</v>
      </c>
      <c r="C22" s="667"/>
      <c r="D22" s="329" t="str">
        <f>3+$L$8 &amp; "+1d20"</f>
        <v>25+1d20</v>
      </c>
      <c r="E22" s="330" t="str">
        <f>3+$L$8+2 &amp; "+1d20"</f>
        <v>27+1d20</v>
      </c>
      <c r="F22" s="329" t="str">
        <f>3+$L$8 &amp; "+1d20"</f>
        <v>25+1d20</v>
      </c>
      <c r="G22" s="331" t="str">
        <f>3+$L$8+2 &amp; "+1d20"</f>
        <v>27+1d20</v>
      </c>
    </row>
    <row r="23" spans="1:13" s="287" customFormat="1" ht="24" customHeight="1" thickBot="1">
      <c r="A23" s="613"/>
      <c r="B23" s="324" t="s">
        <v>482</v>
      </c>
      <c r="C23" s="668"/>
      <c r="D23" s="319" t="str">
        <f>2+3+$L$8 &amp; "+1d20"</f>
        <v>27+1d20</v>
      </c>
      <c r="E23" s="320" t="str">
        <f>2+3+$L$8+2 &amp; "+1d20"</f>
        <v>29+1d20</v>
      </c>
      <c r="F23" s="319" t="str">
        <f>2+3+$L$8 &amp; "+1d20"</f>
        <v>27+1d20</v>
      </c>
      <c r="G23" s="321" t="str">
        <f>2+3+$L$8+2 &amp; "+1d20"</f>
        <v>29+1d20</v>
      </c>
    </row>
    <row r="24" spans="1:13" s="287" customFormat="1" ht="18" customHeight="1">
      <c r="A24" s="631" t="s">
        <v>113</v>
      </c>
      <c r="B24" s="257" t="s">
        <v>4</v>
      </c>
      <c r="C24" s="233" t="str">
        <f>IF($M$13 = 0,"", $M$13)</f>
        <v>光輝</v>
      </c>
      <c r="D24" s="234" t="str">
        <f>$L$13 &amp; "+" &amp; $I$13 &amp; "d" &amp; $K$13</f>
        <v>11+1d6</v>
      </c>
      <c r="E24" s="234" t="str">
        <f>$L$13 &amp; "+" &amp; $I$13 &amp; "d" &amp; $K$13</f>
        <v>11+1d6</v>
      </c>
      <c r="F24" s="234" t="str">
        <f>$L$13+3 &amp; "+" &amp; $I$13 &amp; "d" &amp; $K$13</f>
        <v>14+1d6</v>
      </c>
      <c r="G24" s="235" t="str">
        <f>$L$13+3 &amp; "+" &amp; $I$13 &amp; "d" &amp; $K$13</f>
        <v>14+1d6</v>
      </c>
    </row>
    <row r="25" spans="1:13" s="287" customFormat="1" ht="18" customHeight="1">
      <c r="A25" s="632"/>
      <c r="B25" s="359" t="s">
        <v>3</v>
      </c>
      <c r="C25" s="360" t="str">
        <f>IF($M$14 = 0,"", $M$14)</f>
        <v>光輝</v>
      </c>
      <c r="D25" s="361" t="str">
        <f>$L$14 &amp; "+2d6" &amp; IF($I$14 = 0,"","+" &amp; $I$14 &amp; "d" &amp; $K$14)</f>
        <v>17+2d6+5d12</v>
      </c>
      <c r="E25" s="361" t="str">
        <f>$L$14 &amp; "+2d6" &amp; IF($I$14 = 0,"","+" &amp; $I$14 &amp; "d" &amp; $K$14)</f>
        <v>17+2d6+5d12</v>
      </c>
      <c r="F25" s="361" t="str">
        <f>$L$14+3 &amp; "+2d6" &amp; IF($I$14 = 0,"","+" &amp; $I$14 &amp; "d" &amp; $K$14)</f>
        <v>20+2d6+5d12</v>
      </c>
      <c r="G25" s="363" t="str">
        <f>$L$14+3 &amp; "+2d6" &amp; IF($I$14 = 0,"","+" &amp; $I$14 &amp; "d" &amp; $K$14)</f>
        <v>20+2d6+5d12</v>
      </c>
    </row>
    <row r="26" spans="1:13" s="287" customFormat="1" ht="18" customHeight="1">
      <c r="A26" s="632"/>
      <c r="B26" s="359" t="s">
        <v>982</v>
      </c>
      <c r="C26" s="360" t="str">
        <f>IF($M$14 = 0,"", $M$14)</f>
        <v>光輝</v>
      </c>
      <c r="D26" s="361" t="str">
        <f>$L$15 &amp; "+2d6" &amp; IF($I$15 = 0,"","+" &amp; $I$15 &amp; "d" &amp; $K$15)</f>
        <v>17+2d6+7d12</v>
      </c>
      <c r="E26" s="361" t="str">
        <f>$L$15 &amp; "+2d6" &amp; IF($I$15 = 0,"","+" &amp; $I$15 &amp; "d" &amp; $K$15)</f>
        <v>17+2d6+7d12</v>
      </c>
      <c r="F26" s="361" t="str">
        <f>$L$15+3 &amp; "+2d6" &amp; IF($I$15 = 0,"","+" &amp; $I$15 &amp; "d" &amp; $K$15)</f>
        <v>20+2d6+7d12</v>
      </c>
      <c r="G26" s="363" t="str">
        <f>$L$15+3 &amp; "+2d6" &amp; IF($I$15 = 0,"","+" &amp; $I$15 &amp; "d" &amp; $K$15)</f>
        <v>20+2d6+7d12</v>
      </c>
    </row>
    <row r="27" spans="1:13" s="287" customFormat="1" ht="18" customHeight="1" thickBot="1">
      <c r="A27" s="633"/>
      <c r="B27" s="514" t="s">
        <v>981</v>
      </c>
      <c r="C27" s="507" t="str">
        <f>IF($M$14 = 0,"", $M$14)</f>
        <v>光輝</v>
      </c>
      <c r="D27" s="508">
        <f>$M$15+12</f>
        <v>113</v>
      </c>
      <c r="E27" s="508">
        <f>$M$15+12</f>
        <v>113</v>
      </c>
      <c r="F27" s="508">
        <f>$M$15+3+12</f>
        <v>116</v>
      </c>
      <c r="G27" s="509">
        <f>$M$15+3+12</f>
        <v>116</v>
      </c>
    </row>
    <row r="28" spans="1:13" s="287" customFormat="1" ht="18" customHeight="1">
      <c r="A28" s="631" t="s">
        <v>477</v>
      </c>
      <c r="B28" s="257" t="s">
        <v>4</v>
      </c>
      <c r="C28" s="233" t="str">
        <f>IF($M$13 = 0,"", $M$13)</f>
        <v>光輝</v>
      </c>
      <c r="D28" s="234" t="str">
        <f>2+$L$13 &amp; "+" &amp; $I$13 &amp; "d" &amp; $K$13</f>
        <v>13+1d6</v>
      </c>
      <c r="E28" s="234" t="str">
        <f>2+$L$13 &amp; "+" &amp; $I$13 &amp; "d" &amp; $K$13</f>
        <v>13+1d6</v>
      </c>
      <c r="F28" s="234" t="str">
        <f>2+$L$13+3 &amp; "+" &amp; $I$13 &amp; "d" &amp; $K$13</f>
        <v>16+1d6</v>
      </c>
      <c r="G28" s="235" t="str">
        <f>2+$L$13+3 &amp; "+" &amp; $I$13 &amp; "d" &amp; $K$13</f>
        <v>16+1d6</v>
      </c>
    </row>
    <row r="29" spans="1:13" s="287" customFormat="1" ht="18" customHeight="1">
      <c r="A29" s="632"/>
      <c r="B29" s="359" t="s">
        <v>3</v>
      </c>
      <c r="C29" s="360" t="str">
        <f>IF($M$14 = 0,"", $M$14)</f>
        <v>光輝</v>
      </c>
      <c r="D29" s="361" t="str">
        <f>2+$L$14 &amp; "+2d6" &amp; IF($I$14 =2+ 0,"","+" &amp; $I$14 &amp; "d" &amp; $K$14)</f>
        <v>19+2d6+5d12</v>
      </c>
      <c r="E29" s="361" t="str">
        <f>2+$L$14 &amp; "+2d6" &amp; IF($I$14 =2+ 0,"","+" &amp; $I$14 &amp; "d" &amp; $K$14)</f>
        <v>19+2d6+5d12</v>
      </c>
      <c r="F29" s="361" t="str">
        <f>2+$L$14+3 &amp; "+2d6" &amp; IF($I$14 =2+ 0,"","+" &amp; $I$14 &amp; "d" &amp; $K$14)</f>
        <v>22+2d6+5d12</v>
      </c>
      <c r="G29" s="363" t="str">
        <f>2+$L$14+3 &amp; "+2d6" &amp; IF($I$14 =2+ 0,"","+" &amp; $I$14 &amp; "d" &amp; $K$14)</f>
        <v>22+2d6+5d12</v>
      </c>
    </row>
    <row r="30" spans="1:13" s="287" customFormat="1" ht="18" customHeight="1">
      <c r="A30" s="632"/>
      <c r="B30" s="359" t="s">
        <v>982</v>
      </c>
      <c r="C30" s="360" t="str">
        <f>IF($M$14 = 0,"", $M$14)</f>
        <v>光輝</v>
      </c>
      <c r="D30" s="361" t="str">
        <f>2+$L$15 &amp; "+2d6" &amp; IF($I$15 =2+ 0,"","+" &amp; $I$15 &amp; "d" &amp; $K$15)</f>
        <v>19+2d6+7d12</v>
      </c>
      <c r="E30" s="361" t="str">
        <f>2+$L$15 &amp; "+2d6" &amp; IF($I$15 =2+ 0,"","+" &amp; $I$15 &amp; "d" &amp; $K$15)</f>
        <v>19+2d6+7d12</v>
      </c>
      <c r="F30" s="361" t="str">
        <f>2+$L$15+3 &amp; "+2d6" &amp; IF($I$15 =2+ 0,"","+" &amp; $I$15 &amp; "d" &amp; $K$15)</f>
        <v>22+2d6+7d12</v>
      </c>
      <c r="G30" s="363" t="str">
        <f>2+$L$15+3 &amp; "+2d6" &amp; IF($I$15 =2+ 0,"","+" &amp; $I$15 &amp; "d" &amp; $K$15)</f>
        <v>22+2d6+7d12</v>
      </c>
    </row>
    <row r="31" spans="1:13" s="287" customFormat="1" ht="18" customHeight="1" thickBot="1">
      <c r="A31" s="633"/>
      <c r="B31" s="514" t="s">
        <v>981</v>
      </c>
      <c r="C31" s="507" t="str">
        <f>IF($M$14 = 0,"", $M$14)</f>
        <v>光輝</v>
      </c>
      <c r="D31" s="508">
        <f>2+$M$15+12</f>
        <v>115</v>
      </c>
      <c r="E31" s="508">
        <f>2+$M$15+12</f>
        <v>115</v>
      </c>
      <c r="F31" s="508">
        <f>2+$M$15+3+12</f>
        <v>118</v>
      </c>
      <c r="G31" s="509">
        <f>2+$M$15+3+12</f>
        <v>118</v>
      </c>
    </row>
    <row r="32" spans="1:13" s="133" customFormat="1" ht="4.5" customHeight="1">
      <c r="A32" s="523"/>
      <c r="B32" s="523"/>
      <c r="C32" s="523"/>
      <c r="D32" s="523"/>
      <c r="E32" s="523"/>
      <c r="F32" s="523"/>
      <c r="G32" s="523"/>
      <c r="H32" s="88"/>
      <c r="I32" s="88"/>
      <c r="J32" s="88"/>
      <c r="K32" s="88"/>
    </row>
    <row r="33" spans="1:14" s="287" customFormat="1" ht="14.25">
      <c r="A33" s="517" t="s">
        <v>148</v>
      </c>
      <c r="B33" s="517"/>
      <c r="C33" s="517"/>
      <c r="D33" s="517"/>
      <c r="E33" s="517"/>
      <c r="F33" s="517"/>
      <c r="G33" s="517"/>
      <c r="H33" s="288"/>
    </row>
    <row r="34" spans="1:14" s="287" customFormat="1" ht="14.25">
      <c r="A34" s="517" t="s">
        <v>149</v>
      </c>
      <c r="B34" s="517"/>
      <c r="C34" s="517"/>
      <c r="D34" s="517"/>
      <c r="E34" s="517"/>
      <c r="F34" s="517"/>
      <c r="G34" s="517"/>
      <c r="H34" s="288"/>
    </row>
    <row r="35" spans="1:14" s="287" customFormat="1" ht="14.25">
      <c r="A35" s="517" t="s">
        <v>344</v>
      </c>
      <c r="B35" s="517"/>
      <c r="C35" s="517"/>
      <c r="D35" s="517"/>
      <c r="E35" s="517"/>
      <c r="F35" s="517"/>
      <c r="G35" s="517"/>
      <c r="H35" s="288"/>
    </row>
    <row r="36" spans="1:14" s="287" customFormat="1" ht="14.25">
      <c r="A36" s="517" t="s">
        <v>147</v>
      </c>
      <c r="B36" s="517"/>
      <c r="C36" s="517"/>
      <c r="D36" s="517"/>
      <c r="E36" s="517"/>
      <c r="F36" s="517"/>
      <c r="G36" s="517"/>
      <c r="H36" s="288"/>
    </row>
    <row r="37" spans="1:14" s="287" customFormat="1" ht="14.25">
      <c r="A37" s="517" t="s">
        <v>437</v>
      </c>
      <c r="B37" s="517"/>
      <c r="C37" s="517"/>
      <c r="D37" s="517"/>
      <c r="E37" s="517"/>
      <c r="F37" s="517"/>
      <c r="G37" s="517"/>
      <c r="H37" s="288"/>
    </row>
    <row r="38" spans="1:14" s="287" customFormat="1" ht="13.5" customHeight="1">
      <c r="A38" s="529" t="s">
        <v>506</v>
      </c>
      <c r="B38" s="529"/>
      <c r="C38" s="529"/>
      <c r="D38" s="529"/>
      <c r="E38" s="529"/>
      <c r="F38" s="529"/>
      <c r="G38" s="529"/>
      <c r="H38" s="288"/>
      <c r="I38" s="288"/>
      <c r="J38" s="288"/>
      <c r="K38" s="288"/>
    </row>
    <row r="39" spans="1:14" s="287" customFormat="1" ht="13.5" customHeight="1">
      <c r="A39" s="525" t="s">
        <v>507</v>
      </c>
      <c r="B39" s="525"/>
      <c r="C39" s="525"/>
      <c r="D39" s="525"/>
      <c r="E39" s="525"/>
      <c r="F39" s="525"/>
      <c r="G39" s="525"/>
      <c r="H39" s="288"/>
      <c r="I39" s="288"/>
      <c r="J39" s="288"/>
      <c r="K39" s="288"/>
    </row>
    <row r="40" spans="1:14" s="287" customFormat="1" ht="14.25">
      <c r="A40" s="517" t="s">
        <v>973</v>
      </c>
      <c r="B40" s="517"/>
      <c r="C40" s="517"/>
      <c r="D40" s="517"/>
      <c r="E40" s="517"/>
      <c r="F40" s="517"/>
      <c r="G40" s="517"/>
      <c r="H40" s="288"/>
    </row>
    <row r="41" spans="1:14" s="287" customFormat="1" ht="13.5" customHeight="1">
      <c r="A41" s="529" t="s">
        <v>440</v>
      </c>
      <c r="B41" s="529"/>
      <c r="C41" s="529"/>
      <c r="D41" s="529"/>
      <c r="E41" s="529"/>
      <c r="F41" s="529"/>
      <c r="G41" s="529"/>
      <c r="H41" s="288"/>
      <c r="I41" s="288"/>
      <c r="J41" s="288"/>
      <c r="K41" s="288"/>
    </row>
    <row r="42" spans="1:14" s="287" customFormat="1" ht="13.5" customHeight="1">
      <c r="A42" s="525" t="s">
        <v>441</v>
      </c>
      <c r="B42" s="525"/>
      <c r="C42" s="525"/>
      <c r="D42" s="525"/>
      <c r="E42" s="525"/>
      <c r="F42" s="525"/>
      <c r="G42" s="525"/>
      <c r="H42" s="288"/>
      <c r="I42" s="288"/>
      <c r="J42" s="288"/>
      <c r="K42" s="288"/>
    </row>
    <row r="43" spans="1:14" s="287" customFormat="1" ht="13.5" customHeight="1">
      <c r="A43" s="525" t="s">
        <v>442</v>
      </c>
      <c r="B43" s="525"/>
      <c r="C43" s="525"/>
      <c r="D43" s="525"/>
      <c r="E43" s="525"/>
      <c r="F43" s="525"/>
      <c r="G43" s="525"/>
      <c r="H43" s="288"/>
      <c r="I43" s="288"/>
      <c r="J43" s="288"/>
      <c r="K43" s="288"/>
    </row>
    <row r="44" spans="1:14" s="133" customFormat="1" ht="4.5" customHeight="1">
      <c r="A44" s="604"/>
      <c r="B44" s="604"/>
      <c r="C44" s="604"/>
      <c r="D44" s="604"/>
      <c r="E44" s="604"/>
      <c r="F44" s="604"/>
      <c r="G44" s="604"/>
      <c r="H44" s="88"/>
      <c r="I44" s="88"/>
      <c r="J44" s="88"/>
      <c r="K44" s="88"/>
      <c r="N44" s="47"/>
    </row>
    <row r="45" spans="1:14" s="133" customFormat="1">
      <c r="A45" s="619" t="s">
        <v>48</v>
      </c>
      <c r="B45" s="620"/>
      <c r="C45" s="620"/>
      <c r="D45" s="620"/>
      <c r="E45" s="620"/>
      <c r="F45" s="620"/>
      <c r="G45" s="621"/>
      <c r="H45" s="88"/>
      <c r="I45" s="88"/>
      <c r="J45" s="88"/>
      <c r="K45" s="88"/>
      <c r="N45" s="47"/>
    </row>
    <row r="46" spans="1:14" s="27" customFormat="1" ht="4.5" customHeight="1">
      <c r="A46" s="669"/>
      <c r="B46" s="670"/>
      <c r="C46" s="670"/>
      <c r="D46" s="670"/>
      <c r="E46" s="670"/>
      <c r="F46" s="670"/>
      <c r="G46" s="671"/>
      <c r="L46" s="78"/>
      <c r="M46" s="133"/>
    </row>
    <row r="47" spans="1:14" s="27" customFormat="1" ht="13.5" customHeight="1">
      <c r="A47" s="614" t="s">
        <v>426</v>
      </c>
      <c r="B47" s="520"/>
      <c r="C47" s="520"/>
      <c r="D47" s="520"/>
      <c r="E47" s="520"/>
      <c r="F47" s="520"/>
      <c r="G47" s="615"/>
      <c r="L47" s="78"/>
      <c r="M47" s="133"/>
    </row>
    <row r="48" spans="1:14" s="27" customFormat="1" ht="13.5" customHeight="1">
      <c r="A48" s="614" t="s">
        <v>427</v>
      </c>
      <c r="B48" s="520"/>
      <c r="C48" s="520"/>
      <c r="D48" s="520"/>
      <c r="E48" s="520"/>
      <c r="F48" s="520"/>
      <c r="G48" s="615"/>
      <c r="L48" s="78"/>
      <c r="M48" s="133"/>
    </row>
    <row r="49" spans="1:13" s="27" customFormat="1" ht="13.5" customHeight="1">
      <c r="A49" s="614" t="s">
        <v>428</v>
      </c>
      <c r="B49" s="520"/>
      <c r="C49" s="520"/>
      <c r="D49" s="520"/>
      <c r="E49" s="520"/>
      <c r="F49" s="520"/>
      <c r="G49" s="615"/>
      <c r="L49" s="78"/>
      <c r="M49" s="133"/>
    </row>
    <row r="50" spans="1:13" s="88" customFormat="1" ht="13.5" customHeight="1">
      <c r="A50" s="614" t="s">
        <v>429</v>
      </c>
      <c r="B50" s="520"/>
      <c r="C50" s="520"/>
      <c r="D50" s="520"/>
      <c r="E50" s="520"/>
      <c r="F50" s="520"/>
      <c r="G50" s="615"/>
      <c r="L50" s="126"/>
      <c r="M50" s="133"/>
    </row>
    <row r="51" spans="1:13" s="27" customFormat="1" ht="13.5" customHeight="1">
      <c r="A51" s="614" t="s">
        <v>430</v>
      </c>
      <c r="B51" s="520"/>
      <c r="C51" s="520"/>
      <c r="D51" s="520"/>
      <c r="E51" s="520"/>
      <c r="F51" s="520"/>
      <c r="G51" s="615"/>
      <c r="L51" s="78"/>
      <c r="M51" s="133"/>
    </row>
    <row r="52" spans="1:13" s="280" customFormat="1" ht="13.5" customHeight="1">
      <c r="A52" s="614" t="s">
        <v>431</v>
      </c>
      <c r="B52" s="520"/>
      <c r="C52" s="520"/>
      <c r="D52" s="520"/>
      <c r="E52" s="520"/>
      <c r="F52" s="520"/>
      <c r="G52" s="615"/>
      <c r="L52" s="279"/>
      <c r="M52" s="279"/>
    </row>
    <row r="53" spans="1:13" s="280" customFormat="1" ht="13.5" customHeight="1">
      <c r="A53" s="645" t="s">
        <v>983</v>
      </c>
      <c r="B53" s="646"/>
      <c r="C53" s="646"/>
      <c r="D53" s="646"/>
      <c r="E53" s="646"/>
      <c r="F53" s="646"/>
      <c r="G53" s="647"/>
      <c r="L53" s="279"/>
      <c r="M53" s="279"/>
    </row>
    <row r="54" spans="1:13" s="280" customFormat="1" ht="13.5" customHeight="1">
      <c r="A54" s="614" t="s">
        <v>432</v>
      </c>
      <c r="B54" s="520"/>
      <c r="C54" s="520"/>
      <c r="D54" s="520"/>
      <c r="E54" s="520"/>
      <c r="F54" s="520"/>
      <c r="G54" s="615"/>
      <c r="L54" s="279"/>
      <c r="M54" s="279"/>
    </row>
    <row r="55" spans="1:13" s="27" customFormat="1" ht="6" customHeight="1">
      <c r="A55" s="614"/>
      <c r="B55" s="520"/>
      <c r="C55" s="520"/>
      <c r="D55" s="520"/>
      <c r="E55" s="520"/>
      <c r="F55" s="520"/>
      <c r="G55" s="615"/>
      <c r="L55" s="47"/>
      <c r="M55" s="133"/>
    </row>
    <row r="56" spans="1:13" s="27" customFormat="1" ht="21">
      <c r="A56" s="85" t="s">
        <v>114</v>
      </c>
      <c r="B56" s="51">
        <f>$B$1</f>
        <v>1</v>
      </c>
      <c r="C56" s="86" t="s">
        <v>39</v>
      </c>
      <c r="D56" s="96" t="str">
        <f>$E$1</f>
        <v>無限回</v>
      </c>
      <c r="E56" s="616" t="str">
        <f>$B$2</f>
        <v>マントル・オヴ・ジ・インフィデル</v>
      </c>
      <c r="F56" s="617"/>
      <c r="G56" s="618"/>
      <c r="L56" s="47"/>
      <c r="M56" s="133"/>
    </row>
  </sheetData>
  <mergeCells count="51">
    <mergeCell ref="A32:G32"/>
    <mergeCell ref="A34:G34"/>
    <mergeCell ref="A20:A23"/>
    <mergeCell ref="A47:G47"/>
    <mergeCell ref="A33:G33"/>
    <mergeCell ref="A35:G35"/>
    <mergeCell ref="A36:G36"/>
    <mergeCell ref="C20:C23"/>
    <mergeCell ref="A43:G43"/>
    <mergeCell ref="A24:A27"/>
    <mergeCell ref="A28:A31"/>
    <mergeCell ref="A37:G37"/>
    <mergeCell ref="A44:G44"/>
    <mergeCell ref="J9:K9"/>
    <mergeCell ref="B11:G11"/>
    <mergeCell ref="J11:K11"/>
    <mergeCell ref="B13:G13"/>
    <mergeCell ref="B12:G12"/>
    <mergeCell ref="H4:M4"/>
    <mergeCell ref="B1:C1"/>
    <mergeCell ref="F1:G1"/>
    <mergeCell ref="B2:G2"/>
    <mergeCell ref="B4:G4"/>
    <mergeCell ref="B5:G5"/>
    <mergeCell ref="B15:G15"/>
    <mergeCell ref="B16:G16"/>
    <mergeCell ref="A18:C19"/>
    <mergeCell ref="D18:E18"/>
    <mergeCell ref="F18:G18"/>
    <mergeCell ref="B6:D6"/>
    <mergeCell ref="B7:D7"/>
    <mergeCell ref="B8:G8"/>
    <mergeCell ref="B9:G9"/>
    <mergeCell ref="B10:G10"/>
    <mergeCell ref="B14:G14"/>
    <mergeCell ref="A52:G52"/>
    <mergeCell ref="A38:G38"/>
    <mergeCell ref="A39:G39"/>
    <mergeCell ref="E56:G56"/>
    <mergeCell ref="A45:G45"/>
    <mergeCell ref="A55:G55"/>
    <mergeCell ref="A46:G46"/>
    <mergeCell ref="A53:G53"/>
    <mergeCell ref="A54:G54"/>
    <mergeCell ref="A40:G40"/>
    <mergeCell ref="A41:G41"/>
    <mergeCell ref="A42:G42"/>
    <mergeCell ref="A48:G48"/>
    <mergeCell ref="A49:G49"/>
    <mergeCell ref="A50:G50"/>
    <mergeCell ref="A51:G51"/>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 type="list" allowBlank="1" showInputMessage="1" showErrorMessage="1">
          <x14:formula1>
            <xm:f>基本!$A$5:$A$10</xm:f>
          </x14:formula1>
          <xm:sqref>I8 I10 K15</xm:sqref>
        </x14:dataValidation>
        <x14:dataValidation type="list" allowBlank="1" showInputMessage="1" showErrorMessage="1">
          <x14:formula1>
            <xm:f>基本!$D$27:$D$31</xm:f>
          </x14:formula1>
          <xm:sqref>I7</xm:sqref>
        </x14:dataValidation>
        <x14:dataValidation type="list" allowBlank="1" showInputMessage="1" showErrorMessage="1">
          <x14:formula1>
            <xm:f>基本!$A$16:$A$19</xm:f>
          </x14:formula1>
          <xm:sqref>K8</xm:sqref>
        </x14:dataValidation>
        <x14:dataValidation type="list" allowBlank="1" showInputMessage="1" showErrorMessage="1">
          <x14:formula1>
            <xm:f>基本!$C$27:$C$37</xm:f>
          </x14:formula1>
          <xm:sqref>I15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N58"/>
  <sheetViews>
    <sheetView zoomScaleNormal="100" workbookViewId="0">
      <selection activeCell="B2" sqref="B2:G2"/>
    </sheetView>
  </sheetViews>
  <sheetFormatPr defaultRowHeight="13.5"/>
  <cols>
    <col min="1" max="1" width="7.875" style="287" customWidth="1"/>
    <col min="2" max="2" width="8.5" style="287" customWidth="1"/>
    <col min="3" max="3" width="6.625" style="287" customWidth="1"/>
    <col min="4" max="4" width="15.75" style="287" customWidth="1"/>
    <col min="5" max="6" width="15.75" style="288" customWidth="1"/>
    <col min="7" max="7" width="18.25" style="288" customWidth="1"/>
    <col min="8" max="8" width="17.375" style="288" customWidth="1"/>
    <col min="9" max="9" width="14.625" style="288" customWidth="1"/>
    <col min="10" max="10" width="8.375" style="288" customWidth="1"/>
    <col min="11" max="11" width="7.5" style="288" customWidth="1"/>
    <col min="12" max="13" width="7.875" style="287" customWidth="1"/>
    <col min="14" max="14" width="9.25" style="287" customWidth="1"/>
    <col min="15" max="15" width="12.375" style="287" customWidth="1"/>
    <col min="16" max="16384" width="9" style="287"/>
  </cols>
  <sheetData>
    <row r="1" spans="1:14" ht="21">
      <c r="A1" s="253"/>
      <c r="B1" s="676" t="s">
        <v>463</v>
      </c>
      <c r="C1" s="677"/>
      <c r="D1" s="254" t="s">
        <v>39</v>
      </c>
      <c r="E1" s="255" t="s">
        <v>111</v>
      </c>
      <c r="F1" s="678"/>
      <c r="G1" s="679"/>
      <c r="H1" s="244" t="s">
        <v>54</v>
      </c>
    </row>
    <row r="2" spans="1:14" ht="24.75" customHeight="1">
      <c r="A2" s="254" t="s">
        <v>0</v>
      </c>
      <c r="B2" s="680" t="s">
        <v>508</v>
      </c>
      <c r="C2" s="680"/>
      <c r="D2" s="680"/>
      <c r="E2" s="680"/>
      <c r="F2" s="680"/>
      <c r="G2" s="680"/>
      <c r="H2" s="244" t="s">
        <v>55</v>
      </c>
    </row>
    <row r="3" spans="1:14" ht="19.5" customHeight="1">
      <c r="A3" s="246" t="s">
        <v>47</v>
      </c>
      <c r="B3" s="288"/>
      <c r="C3" s="288"/>
      <c r="D3" s="288"/>
      <c r="I3" s="244"/>
    </row>
    <row r="4" spans="1:14">
      <c r="A4" s="260" t="s">
        <v>45</v>
      </c>
      <c r="B4" s="628" t="s">
        <v>509</v>
      </c>
      <c r="C4" s="629"/>
      <c r="D4" s="629"/>
      <c r="E4" s="629"/>
      <c r="F4" s="629"/>
      <c r="G4" s="630"/>
      <c r="H4" s="539" t="s">
        <v>339</v>
      </c>
      <c r="I4" s="540"/>
      <c r="J4" s="540"/>
      <c r="K4" s="540"/>
      <c r="L4" s="541"/>
    </row>
    <row r="5" spans="1:14">
      <c r="A5" s="261" t="s">
        <v>38</v>
      </c>
      <c r="B5" s="628" t="s">
        <v>465</v>
      </c>
      <c r="C5" s="629"/>
      <c r="D5" s="629"/>
      <c r="E5" s="629"/>
      <c r="F5" s="629"/>
      <c r="G5" s="630"/>
      <c r="H5" s="291" t="s">
        <v>42</v>
      </c>
      <c r="I5" s="290" t="s">
        <v>69</v>
      </c>
      <c r="J5" s="290"/>
    </row>
    <row r="6" spans="1:14">
      <c r="A6" s="261" t="s">
        <v>7</v>
      </c>
      <c r="B6" s="681" t="s">
        <v>201</v>
      </c>
      <c r="C6" s="682"/>
      <c r="D6" s="683"/>
      <c r="E6" s="291" t="s">
        <v>42</v>
      </c>
      <c r="F6" s="272" t="str">
        <f>$I$5</f>
        <v>近接範囲</v>
      </c>
      <c r="G6" s="289" t="str">
        <f>IF($J$5 = 0,"", $J$5)</f>
        <v/>
      </c>
      <c r="H6" s="291" t="s">
        <v>65</v>
      </c>
      <c r="I6" s="290" t="s">
        <v>71</v>
      </c>
      <c r="J6" s="290">
        <v>3</v>
      </c>
    </row>
    <row r="7" spans="1:14">
      <c r="A7" s="262" t="s">
        <v>6</v>
      </c>
      <c r="B7" s="628" t="s">
        <v>287</v>
      </c>
      <c r="C7" s="629"/>
      <c r="D7" s="630"/>
      <c r="E7" s="291" t="s">
        <v>65</v>
      </c>
      <c r="F7" s="272" t="str">
        <f>IF($I$6 = 0,"", $I$6)</f>
        <v>噴射</v>
      </c>
      <c r="G7" s="272">
        <f>IF($J$6 = 0,"", $J$6)</f>
        <v>3</v>
      </c>
      <c r="H7" s="291" t="s">
        <v>84</v>
      </c>
      <c r="I7" s="290"/>
      <c r="J7" s="244" t="s">
        <v>61</v>
      </c>
      <c r="L7" s="230" t="s">
        <v>343</v>
      </c>
    </row>
    <row r="8" spans="1:14">
      <c r="A8" s="262" t="s">
        <v>8</v>
      </c>
      <c r="B8" s="628" t="s">
        <v>466</v>
      </c>
      <c r="C8" s="629"/>
      <c r="D8" s="629"/>
      <c r="E8" s="629"/>
      <c r="F8" s="629"/>
      <c r="G8" s="630"/>
      <c r="H8" s="291" t="s">
        <v>50</v>
      </c>
      <c r="I8" s="290" t="s">
        <v>139</v>
      </c>
      <c r="J8" s="289">
        <f>IF($I$8 = "筋力",基本!$C$5,IF($I$8 = "耐久力",基本!$C$6,IF($I$8 = "敏捷力",基本!$C$7,IF($I$8 = "知力",基本!$C$8,IF($I$8 = "判断力",基本!$C$9,IF($I$8 = "判断力",基本!$C$10,""))))))</f>
        <v>7</v>
      </c>
      <c r="K8" s="290" t="s">
        <v>19</v>
      </c>
      <c r="L8" s="229">
        <f>$J$8+$L$9+$I$9</f>
        <v>24</v>
      </c>
    </row>
    <row r="9" spans="1:14" ht="14.25" customHeight="1">
      <c r="A9" s="274" t="s">
        <v>371</v>
      </c>
      <c r="B9" s="642" t="s">
        <v>473</v>
      </c>
      <c r="C9" s="643"/>
      <c r="D9" s="643"/>
      <c r="E9" s="643"/>
      <c r="F9" s="643"/>
      <c r="G9" s="644"/>
      <c r="H9" s="291" t="s">
        <v>57</v>
      </c>
      <c r="I9" s="290">
        <f>14+3</f>
        <v>17</v>
      </c>
      <c r="J9" s="539" t="s">
        <v>52</v>
      </c>
      <c r="K9" s="541"/>
      <c r="L9" s="289">
        <f>IF($I$7=基本!$F$4,基本!$O$7,IF($I$7=基本!$F$13,基本!$O$16,IF($I$7=基本!$F$22,基本!$O$25,IF($I$7=基本!$F$31,基本!$O$34,IF($I$7=基本!$F$40,基本!$O$43,0)))))</f>
        <v>0</v>
      </c>
    </row>
    <row r="10" spans="1:14" ht="14.25" customHeight="1">
      <c r="A10" s="274"/>
      <c r="B10" s="645"/>
      <c r="C10" s="646"/>
      <c r="D10" s="646"/>
      <c r="E10" s="646"/>
      <c r="F10" s="646"/>
      <c r="G10" s="647"/>
      <c r="H10" s="292" t="s">
        <v>51</v>
      </c>
      <c r="I10" s="290" t="s">
        <v>139</v>
      </c>
      <c r="J10" s="249">
        <f>IF($I$10 = "筋力",基本!$C$5,IF($I$10 = "耐久力",基本!$C$6,IF($I$10 = "敏捷力",基本!$C$7,IF($I$10 = "知力",基本!$C$8,IF($I$10 = "判断力",基本!$C$9,IF($I$10 = "判断力",基本!$C$10,""))))))</f>
        <v>7</v>
      </c>
      <c r="L10" s="288"/>
    </row>
    <row r="11" spans="1:14" ht="9" customHeight="1">
      <c r="A11" s="274"/>
      <c r="B11" s="645"/>
      <c r="C11" s="646"/>
      <c r="D11" s="646"/>
      <c r="E11" s="646"/>
      <c r="F11" s="646"/>
      <c r="G11" s="647"/>
      <c r="H11" s="291" t="s">
        <v>58</v>
      </c>
      <c r="I11" s="290">
        <v>0</v>
      </c>
      <c r="J11" s="539" t="s">
        <v>53</v>
      </c>
      <c r="K11" s="541"/>
      <c r="L11" s="289">
        <f>IF($I$7=基本!$F$4,基本!$O$9,IF($I$7=基本!$F$13,基本!$O$18,IF($I$7=基本!$F$22,基本!$O$27,IF($I$7=基本!$F$31,基本!$O$36,IF($I$7=基本!$F$40,基本!$O$45,0)))))</f>
        <v>0</v>
      </c>
    </row>
    <row r="12" spans="1:14" ht="9" customHeight="1">
      <c r="A12" s="274"/>
      <c r="B12" s="645"/>
      <c r="C12" s="646"/>
      <c r="D12" s="646"/>
      <c r="E12" s="646"/>
      <c r="F12" s="646"/>
      <c r="G12" s="647"/>
      <c r="J12" s="287"/>
      <c r="K12" s="287"/>
      <c r="L12" s="230" t="s">
        <v>343</v>
      </c>
    </row>
    <row r="13" spans="1:14" ht="9" customHeight="1">
      <c r="A13" s="274"/>
      <c r="B13" s="645"/>
      <c r="C13" s="646"/>
      <c r="D13" s="646"/>
      <c r="E13" s="646"/>
      <c r="F13" s="646"/>
      <c r="G13" s="647"/>
      <c r="H13" s="291" t="s">
        <v>85</v>
      </c>
      <c r="I13" s="290">
        <v>3</v>
      </c>
      <c r="J13" s="291" t="s">
        <v>43</v>
      </c>
      <c r="K13" s="290">
        <v>6</v>
      </c>
      <c r="L13" s="229">
        <f>$J$10+$L$11+$I$11</f>
        <v>7</v>
      </c>
      <c r="N13" s="256"/>
    </row>
    <row r="14" spans="1:14" ht="9" customHeight="1">
      <c r="A14" s="266"/>
      <c r="B14" s="684"/>
      <c r="C14" s="685"/>
      <c r="D14" s="685"/>
      <c r="E14" s="685"/>
      <c r="F14" s="685"/>
      <c r="G14" s="686"/>
      <c r="H14" s="291" t="s">
        <v>49</v>
      </c>
      <c r="I14" s="245">
        <f>IF($I$7=基本!$F$4,基本!$L$11,IF($I$7=基本!$F$13,基本!$L$20,IF($I$7=基本!$F$22,基本!$L$29,IF($I$7=基本!$F$31,基本!$L$38,IF($I$7=基本!$F$40,基本!$L$47,0)))))</f>
        <v>0</v>
      </c>
      <c r="J14" s="291" t="s">
        <v>43</v>
      </c>
      <c r="K14" s="245">
        <f>IF($I$7=基本!$F$4,基本!$N$11,IF($I$7=基本!$F$13,基本!$N$20,IF($I$7=基本!$F$22,基本!$N$29,IF($I$7=基本!$F$31,基本!$N$38,IF($I$7=基本!$F$40,基本!$N$47,0)))))</f>
        <v>0</v>
      </c>
      <c r="L14" s="229">
        <f>$J$10+$L$11+$I$11+($I$13*$K$13)</f>
        <v>25</v>
      </c>
      <c r="N14" s="256"/>
    </row>
    <row r="15" spans="1:14" ht="9" customHeight="1">
      <c r="A15" s="274"/>
      <c r="B15" s="684"/>
      <c r="C15" s="685"/>
      <c r="D15" s="685"/>
      <c r="E15" s="685"/>
      <c r="F15" s="685"/>
      <c r="G15" s="686"/>
      <c r="H15" s="291" t="s">
        <v>59</v>
      </c>
      <c r="I15" s="290"/>
      <c r="J15" s="291" t="s">
        <v>342</v>
      </c>
      <c r="K15" s="290" t="s">
        <v>15</v>
      </c>
      <c r="L15" s="289">
        <f>IF(K15="",0,VLOOKUP(K15,基本!$A$5:'基本'!$C$10,3,FALSE))</f>
        <v>3</v>
      </c>
    </row>
    <row r="16" spans="1:14" ht="8.25" customHeight="1">
      <c r="A16" s="264"/>
      <c r="B16" s="603"/>
      <c r="C16" s="604"/>
      <c r="D16" s="604"/>
      <c r="E16" s="604"/>
      <c r="F16" s="604"/>
      <c r="G16" s="605"/>
      <c r="H16" s="287"/>
      <c r="I16" s="287"/>
      <c r="J16" s="287"/>
      <c r="K16" s="287"/>
    </row>
    <row r="17" spans="1:13" ht="14.25" thickBot="1">
      <c r="A17" s="265" t="s">
        <v>46</v>
      </c>
      <c r="E17" s="241"/>
      <c r="H17" s="287"/>
      <c r="I17" s="287"/>
      <c r="J17" s="287"/>
      <c r="K17" s="287"/>
    </row>
    <row r="18" spans="1:13" ht="18.75" customHeight="1" thickBot="1">
      <c r="A18" s="687" t="str">
        <f>$B$2</f>
        <v>ウィンド・スタッフ+3　Lv14</v>
      </c>
      <c r="B18" s="688"/>
      <c r="C18" s="688"/>
      <c r="D18" s="259" t="s">
        <v>2</v>
      </c>
      <c r="E18" s="270" t="s">
        <v>1</v>
      </c>
      <c r="F18" s="271"/>
      <c r="G18" s="268"/>
      <c r="H18" s="287"/>
      <c r="I18" s="287"/>
      <c r="J18" s="287"/>
      <c r="K18" s="287"/>
    </row>
    <row r="19" spans="1:13" ht="24" customHeight="1">
      <c r="A19" s="611" t="s">
        <v>41</v>
      </c>
      <c r="B19" s="315" t="s">
        <v>113</v>
      </c>
      <c r="C19" s="666" t="str">
        <f>$K$8</f>
        <v>頑健</v>
      </c>
      <c r="D19" s="316" t="str">
        <f>$I$9 &amp; "+1d20"</f>
        <v>17+1d20</v>
      </c>
      <c r="E19" s="318" t="str">
        <f>$I$9+2 &amp; "+1d20"</f>
        <v>19+1d20</v>
      </c>
      <c r="F19"/>
      <c r="G19"/>
      <c r="H19" s="287"/>
      <c r="I19" s="287"/>
      <c r="J19" s="287"/>
      <c r="K19" s="287"/>
    </row>
    <row r="20" spans="1:13" ht="24" customHeight="1" thickBot="1">
      <c r="A20" s="613"/>
      <c r="B20" s="340" t="s">
        <v>476</v>
      </c>
      <c r="C20" s="668"/>
      <c r="D20" s="341" t="str">
        <f>3+$I$9 &amp; "+1d20"</f>
        <v>20+1d20</v>
      </c>
      <c r="E20" s="342" t="str">
        <f>3+$I$9+2 &amp; "+1d20"</f>
        <v>22+1d20</v>
      </c>
      <c r="F20"/>
      <c r="G20"/>
      <c r="H20" s="287"/>
      <c r="I20" s="287"/>
      <c r="J20" s="287"/>
      <c r="K20" s="287"/>
    </row>
    <row r="21" spans="1:13" ht="37.5" customHeight="1" thickBot="1">
      <c r="A21" s="694" t="s">
        <v>9</v>
      </c>
      <c r="B21" s="695"/>
      <c r="C21" s="194" t="str">
        <f>IF($I$15 = 0,"", $I$15)</f>
        <v/>
      </c>
      <c r="D21" s="696" t="s">
        <v>467</v>
      </c>
      <c r="E21" s="697"/>
      <c r="F21" s="269"/>
      <c r="G21" s="287"/>
      <c r="H21" s="287"/>
      <c r="I21" s="287"/>
      <c r="J21" s="287"/>
      <c r="K21" s="287"/>
    </row>
    <row r="22" spans="1:13" ht="8.25" customHeight="1">
      <c r="A22" s="523"/>
      <c r="B22" s="523"/>
      <c r="C22" s="523"/>
      <c r="D22" s="523"/>
      <c r="E22" s="523"/>
      <c r="F22" s="523"/>
      <c r="G22" s="523"/>
    </row>
    <row r="23" spans="1:13" ht="14.25">
      <c r="A23" s="517" t="s">
        <v>147</v>
      </c>
      <c r="B23" s="517"/>
      <c r="C23" s="517"/>
      <c r="D23" s="517"/>
      <c r="E23" s="517"/>
      <c r="F23" s="517"/>
      <c r="G23" s="517"/>
      <c r="I23" s="287"/>
      <c r="J23" s="287"/>
      <c r="K23" s="287"/>
    </row>
    <row r="24" spans="1:13" ht="13.5" customHeight="1">
      <c r="A24" s="529" t="s">
        <v>130</v>
      </c>
      <c r="B24" s="529"/>
      <c r="C24" s="529"/>
      <c r="D24" s="529"/>
      <c r="E24" s="529"/>
      <c r="F24" s="529"/>
      <c r="G24" s="529"/>
    </row>
    <row r="25" spans="1:13" ht="14.25">
      <c r="A25" s="517" t="s">
        <v>973</v>
      </c>
      <c r="B25" s="517"/>
      <c r="C25" s="517"/>
      <c r="D25" s="517"/>
      <c r="E25" s="517"/>
      <c r="F25" s="517"/>
      <c r="G25" s="517"/>
      <c r="I25" s="287"/>
      <c r="J25" s="287"/>
      <c r="K25" s="287"/>
    </row>
    <row r="26" spans="1:13" ht="13.5" customHeight="1">
      <c r="A26" s="529" t="s">
        <v>440</v>
      </c>
      <c r="B26" s="529"/>
      <c r="C26" s="529"/>
      <c r="D26" s="529"/>
      <c r="E26" s="529"/>
      <c r="F26" s="529"/>
      <c r="G26" s="529"/>
    </row>
    <row r="27" spans="1:13" ht="13.5" customHeight="1">
      <c r="A27" s="525" t="s">
        <v>441</v>
      </c>
      <c r="B27" s="525"/>
      <c r="C27" s="525"/>
      <c r="D27" s="525"/>
      <c r="E27" s="525"/>
      <c r="F27" s="525"/>
      <c r="G27" s="525"/>
    </row>
    <row r="28" spans="1:13" ht="13.5" customHeight="1">
      <c r="A28" s="525" t="s">
        <v>442</v>
      </c>
      <c r="B28" s="525"/>
      <c r="C28" s="525"/>
      <c r="D28" s="525"/>
      <c r="E28" s="525"/>
      <c r="F28" s="525"/>
      <c r="G28" s="525"/>
    </row>
    <row r="29" spans="1:13" ht="8.25" customHeight="1">
      <c r="A29" s="604"/>
      <c r="B29" s="604"/>
      <c r="C29" s="604"/>
      <c r="D29" s="604"/>
      <c r="E29" s="604"/>
      <c r="F29" s="604"/>
      <c r="G29" s="604"/>
    </row>
    <row r="30" spans="1:13">
      <c r="A30" s="619" t="s">
        <v>48</v>
      </c>
      <c r="B30" s="620"/>
      <c r="C30" s="620"/>
      <c r="D30" s="620"/>
      <c r="E30" s="620"/>
      <c r="F30" s="620"/>
      <c r="G30" s="621"/>
    </row>
    <row r="31" spans="1:13" s="283" customFormat="1" ht="13.5" customHeight="1">
      <c r="A31" s="645"/>
      <c r="B31" s="646"/>
      <c r="C31" s="646"/>
      <c r="D31" s="646"/>
      <c r="E31" s="646"/>
      <c r="F31" s="646"/>
      <c r="G31" s="647"/>
      <c r="L31" s="284"/>
      <c r="M31" s="284"/>
    </row>
    <row r="32" spans="1:13" s="283" customFormat="1" ht="13.5" customHeight="1">
      <c r="A32" s="645" t="s">
        <v>522</v>
      </c>
      <c r="B32" s="646"/>
      <c r="C32" s="646"/>
      <c r="D32" s="646"/>
      <c r="E32" s="646"/>
      <c r="F32" s="646"/>
      <c r="G32" s="647"/>
      <c r="L32" s="284"/>
      <c r="M32" s="284"/>
    </row>
    <row r="33" spans="1:13" s="283" customFormat="1" ht="13.5" customHeight="1">
      <c r="A33" s="645"/>
      <c r="B33" s="646"/>
      <c r="C33" s="646"/>
      <c r="D33" s="646"/>
      <c r="E33" s="646"/>
      <c r="F33" s="646"/>
      <c r="G33" s="647"/>
      <c r="L33" s="284"/>
      <c r="M33" s="284"/>
    </row>
    <row r="34" spans="1:13" s="283" customFormat="1" ht="13.5" customHeight="1">
      <c r="A34" s="645" t="s">
        <v>523</v>
      </c>
      <c r="B34" s="646"/>
      <c r="C34" s="646"/>
      <c r="D34" s="646"/>
      <c r="E34" s="646"/>
      <c r="F34" s="646"/>
      <c r="G34" s="647"/>
      <c r="L34" s="284"/>
      <c r="M34" s="284"/>
    </row>
    <row r="35" spans="1:13" s="283" customFormat="1" ht="13.5" customHeight="1">
      <c r="A35" s="645" t="s">
        <v>534</v>
      </c>
      <c r="B35" s="646"/>
      <c r="C35" s="646"/>
      <c r="D35" s="646"/>
      <c r="E35" s="646"/>
      <c r="F35" s="646"/>
      <c r="G35" s="647"/>
      <c r="L35" s="284"/>
      <c r="M35" s="284"/>
    </row>
    <row r="36" spans="1:13" s="283" customFormat="1" ht="13.5" customHeight="1">
      <c r="A36" s="645"/>
      <c r="B36" s="646"/>
      <c r="C36" s="646"/>
      <c r="D36" s="646"/>
      <c r="E36" s="646"/>
      <c r="F36" s="646"/>
      <c r="G36" s="647"/>
      <c r="L36" s="284"/>
      <c r="M36" s="284"/>
    </row>
    <row r="37" spans="1:13" s="283" customFormat="1" ht="13.5" customHeight="1">
      <c r="A37" s="645" t="s">
        <v>535</v>
      </c>
      <c r="B37" s="646"/>
      <c r="C37" s="646"/>
      <c r="D37" s="646"/>
      <c r="E37" s="646"/>
      <c r="F37" s="646"/>
      <c r="G37" s="647"/>
      <c r="L37" s="284"/>
      <c r="M37" s="284"/>
    </row>
    <row r="38" spans="1:13" s="283" customFormat="1" ht="13.5" customHeight="1">
      <c r="A38" s="645" t="s">
        <v>536</v>
      </c>
      <c r="B38" s="646"/>
      <c r="C38" s="646"/>
      <c r="D38" s="646"/>
      <c r="E38" s="646"/>
      <c r="F38" s="646"/>
      <c r="G38" s="647"/>
      <c r="L38" s="284"/>
      <c r="M38" s="284"/>
    </row>
    <row r="39" spans="1:13" s="283" customFormat="1" ht="13.5" customHeight="1">
      <c r="A39" s="645"/>
      <c r="B39" s="646"/>
      <c r="C39" s="646"/>
      <c r="D39" s="646"/>
      <c r="E39" s="646"/>
      <c r="F39" s="646"/>
      <c r="G39" s="647"/>
      <c r="L39" s="284"/>
      <c r="M39" s="284"/>
    </row>
    <row r="40" spans="1:13" s="283" customFormat="1" ht="13.5" customHeight="1">
      <c r="A40" s="645" t="s">
        <v>537</v>
      </c>
      <c r="B40" s="646"/>
      <c r="C40" s="646"/>
      <c r="D40" s="646"/>
      <c r="E40" s="646"/>
      <c r="F40" s="646"/>
      <c r="G40" s="647"/>
      <c r="L40" s="284"/>
      <c r="M40" s="284"/>
    </row>
    <row r="41" spans="1:13" s="283" customFormat="1" ht="13.5" customHeight="1">
      <c r="A41" s="645" t="s">
        <v>538</v>
      </c>
      <c r="B41" s="646"/>
      <c r="C41" s="646"/>
      <c r="D41" s="646"/>
      <c r="E41" s="646"/>
      <c r="F41" s="646"/>
      <c r="G41" s="647"/>
      <c r="L41" s="284"/>
      <c r="M41" s="284"/>
    </row>
    <row r="42" spans="1:13" s="283" customFormat="1" ht="13.5" customHeight="1">
      <c r="A42" s="645"/>
      <c r="B42" s="646"/>
      <c r="C42" s="646"/>
      <c r="D42" s="646"/>
      <c r="E42" s="646"/>
      <c r="F42" s="646"/>
      <c r="G42" s="647"/>
      <c r="L42" s="284"/>
      <c r="M42" s="284"/>
    </row>
    <row r="43" spans="1:13" s="283" customFormat="1" ht="13.5" customHeight="1">
      <c r="A43" s="645" t="s">
        <v>539</v>
      </c>
      <c r="B43" s="646"/>
      <c r="C43" s="646"/>
      <c r="D43" s="646"/>
      <c r="E43" s="646"/>
      <c r="F43" s="646"/>
      <c r="G43" s="647"/>
      <c r="L43" s="284"/>
      <c r="M43" s="284"/>
    </row>
    <row r="44" spans="1:13" s="283" customFormat="1" ht="13.5" customHeight="1">
      <c r="A44" s="645"/>
      <c r="B44" s="646"/>
      <c r="C44" s="646"/>
      <c r="D44" s="646"/>
      <c r="E44" s="646"/>
      <c r="F44" s="646"/>
      <c r="G44" s="647"/>
      <c r="L44" s="284"/>
      <c r="M44" s="284"/>
    </row>
    <row r="45" spans="1:13" s="283" customFormat="1" ht="13.5" customHeight="1">
      <c r="A45" s="645" t="s">
        <v>814</v>
      </c>
      <c r="B45" s="646"/>
      <c r="C45" s="646"/>
      <c r="D45" s="646"/>
      <c r="E45" s="646"/>
      <c r="F45" s="646"/>
      <c r="G45" s="647"/>
      <c r="L45" s="284"/>
      <c r="M45" s="284"/>
    </row>
    <row r="46" spans="1:13" s="283" customFormat="1" ht="13.5" customHeight="1">
      <c r="A46" s="645" t="s">
        <v>540</v>
      </c>
      <c r="B46" s="646"/>
      <c r="C46" s="646"/>
      <c r="D46" s="646"/>
      <c r="E46" s="646"/>
      <c r="F46" s="646"/>
      <c r="G46" s="647"/>
      <c r="L46" s="284"/>
      <c r="M46" s="284"/>
    </row>
    <row r="47" spans="1:13" s="283" customFormat="1" ht="13.5" customHeight="1">
      <c r="A47" s="645" t="s">
        <v>984</v>
      </c>
      <c r="B47" s="646"/>
      <c r="C47" s="646"/>
      <c r="D47" s="646"/>
      <c r="E47" s="646"/>
      <c r="F47" s="646"/>
      <c r="G47" s="647"/>
      <c r="L47" s="284"/>
      <c r="M47" s="284"/>
    </row>
    <row r="48" spans="1:13" s="283" customFormat="1" ht="13.5" customHeight="1">
      <c r="A48" s="645"/>
      <c r="B48" s="646"/>
      <c r="C48" s="646"/>
      <c r="D48" s="646"/>
      <c r="E48" s="646"/>
      <c r="F48" s="646"/>
      <c r="G48" s="647"/>
      <c r="L48" s="284"/>
      <c r="M48" s="284"/>
    </row>
    <row r="49" spans="1:13" s="283" customFormat="1" ht="13.5" customHeight="1">
      <c r="A49" s="645" t="s">
        <v>541</v>
      </c>
      <c r="B49" s="646"/>
      <c r="C49" s="646"/>
      <c r="D49" s="646"/>
      <c r="E49" s="646"/>
      <c r="F49" s="646"/>
      <c r="G49" s="647"/>
      <c r="L49" s="284"/>
      <c r="M49" s="284"/>
    </row>
    <row r="50" spans="1:13" s="283" customFormat="1" ht="13.5" customHeight="1">
      <c r="A50" s="645"/>
      <c r="B50" s="646"/>
      <c r="C50" s="646"/>
      <c r="D50" s="646"/>
      <c r="E50" s="646"/>
      <c r="F50" s="646"/>
      <c r="G50" s="647"/>
      <c r="L50" s="284"/>
      <c r="M50" s="284"/>
    </row>
    <row r="51" spans="1:13" s="283" customFormat="1" ht="13.5" customHeight="1">
      <c r="A51" s="645"/>
      <c r="B51" s="646"/>
      <c r="C51" s="646"/>
      <c r="D51" s="646"/>
      <c r="E51" s="646"/>
      <c r="F51" s="646"/>
      <c r="G51" s="647"/>
      <c r="L51" s="284"/>
      <c r="M51" s="284"/>
    </row>
    <row r="52" spans="1:13" s="283" customFormat="1" ht="13.5" customHeight="1">
      <c r="A52" s="645"/>
      <c r="B52" s="646"/>
      <c r="C52" s="646"/>
      <c r="D52" s="646"/>
      <c r="E52" s="646"/>
      <c r="F52" s="646"/>
      <c r="G52" s="647"/>
      <c r="L52" s="284"/>
      <c r="M52" s="284"/>
    </row>
    <row r="53" spans="1:13" s="283" customFormat="1" ht="13.5" customHeight="1">
      <c r="A53" s="645"/>
      <c r="B53" s="646"/>
      <c r="C53" s="646"/>
      <c r="D53" s="646"/>
      <c r="E53" s="646"/>
      <c r="F53" s="646"/>
      <c r="G53" s="647"/>
      <c r="L53" s="284"/>
      <c r="M53" s="284"/>
    </row>
    <row r="54" spans="1:13" s="283" customFormat="1" ht="13.5" customHeight="1">
      <c r="A54" s="645"/>
      <c r="B54" s="646"/>
      <c r="C54" s="646"/>
      <c r="D54" s="646"/>
      <c r="E54" s="646"/>
      <c r="F54" s="646"/>
      <c r="G54" s="647"/>
      <c r="L54" s="284"/>
      <c r="M54" s="284"/>
    </row>
    <row r="55" spans="1:13" s="283" customFormat="1" ht="13.5" customHeight="1">
      <c r="A55" s="645"/>
      <c r="B55" s="646"/>
      <c r="C55" s="646"/>
      <c r="D55" s="646"/>
      <c r="E55" s="646"/>
      <c r="F55" s="646"/>
      <c r="G55" s="647"/>
      <c r="L55" s="284"/>
      <c r="M55" s="284"/>
    </row>
    <row r="56" spans="1:13" s="283" customFormat="1" ht="13.5" customHeight="1">
      <c r="A56" s="645"/>
      <c r="B56" s="646"/>
      <c r="C56" s="646"/>
      <c r="D56" s="646"/>
      <c r="E56" s="646"/>
      <c r="F56" s="646"/>
      <c r="G56" s="647"/>
      <c r="L56" s="284"/>
      <c r="M56" s="284"/>
    </row>
    <row r="57" spans="1:13" s="283" customFormat="1" ht="13.5" customHeight="1">
      <c r="A57" s="645"/>
      <c r="B57" s="646"/>
      <c r="C57" s="646"/>
      <c r="D57" s="646"/>
      <c r="E57" s="646"/>
      <c r="F57" s="646"/>
      <c r="G57" s="647"/>
      <c r="L57" s="284"/>
      <c r="M57" s="284"/>
    </row>
    <row r="58" spans="1:13" s="288" customFormat="1" ht="21">
      <c r="A58" s="689" t="str">
        <f>$B$1</f>
        <v>アイテム</v>
      </c>
      <c r="B58" s="690"/>
      <c r="C58" s="251" t="s">
        <v>39</v>
      </c>
      <c r="D58" s="252" t="str">
        <f>$E$1</f>
        <v>遭遇毎</v>
      </c>
      <c r="E58" s="691" t="str">
        <f>$B$2</f>
        <v>ウィンド・スタッフ+3　Lv14</v>
      </c>
      <c r="F58" s="692"/>
      <c r="G58" s="693"/>
      <c r="L58" s="287"/>
      <c r="M58" s="287"/>
    </row>
  </sheetData>
  <mergeCells count="62">
    <mergeCell ref="A58:B58"/>
    <mergeCell ref="E58:G58"/>
    <mergeCell ref="A21:B21"/>
    <mergeCell ref="D21:E21"/>
    <mergeCell ref="A43:G43"/>
    <mergeCell ref="A44:G44"/>
    <mergeCell ref="A45:G45"/>
    <mergeCell ref="A46:G46"/>
    <mergeCell ref="A47:G47"/>
    <mergeCell ref="A48:G48"/>
    <mergeCell ref="A49:G49"/>
    <mergeCell ref="A55:G55"/>
    <mergeCell ref="A56:G56"/>
    <mergeCell ref="A57:G57"/>
    <mergeCell ref="A52:G52"/>
    <mergeCell ref="A53:G53"/>
    <mergeCell ref="A54:G54"/>
    <mergeCell ref="A29:G29"/>
    <mergeCell ref="A30:G30"/>
    <mergeCell ref="A31:G31"/>
    <mergeCell ref="A32:G32"/>
    <mergeCell ref="A50:G50"/>
    <mergeCell ref="A51:G51"/>
    <mergeCell ref="A39:G39"/>
    <mergeCell ref="A40:G40"/>
    <mergeCell ref="A41:G41"/>
    <mergeCell ref="A42:G42"/>
    <mergeCell ref="A33:G33"/>
    <mergeCell ref="A34:G34"/>
    <mergeCell ref="A35:G35"/>
    <mergeCell ref="A36:G36"/>
    <mergeCell ref="A37:G37"/>
    <mergeCell ref="A38:G38"/>
    <mergeCell ref="A23:G23"/>
    <mergeCell ref="A24:G24"/>
    <mergeCell ref="A25:G25"/>
    <mergeCell ref="A26:G26"/>
    <mergeCell ref="A27:G27"/>
    <mergeCell ref="A28:G28"/>
    <mergeCell ref="B16:G16"/>
    <mergeCell ref="A18:C18"/>
    <mergeCell ref="A22:G22"/>
    <mergeCell ref="B11:G11"/>
    <mergeCell ref="A19:A20"/>
    <mergeCell ref="C19:C20"/>
    <mergeCell ref="J11:K11"/>
    <mergeCell ref="B12:G12"/>
    <mergeCell ref="B13:G13"/>
    <mergeCell ref="B14:G14"/>
    <mergeCell ref="B15:G15"/>
    <mergeCell ref="H4:L4"/>
    <mergeCell ref="B5:G5"/>
    <mergeCell ref="B10:G10"/>
    <mergeCell ref="B1:C1"/>
    <mergeCell ref="F1:G1"/>
    <mergeCell ref="B2:G2"/>
    <mergeCell ref="B4:G4"/>
    <mergeCell ref="B6:D6"/>
    <mergeCell ref="B7:D7"/>
    <mergeCell ref="B8:G8"/>
    <mergeCell ref="B9:G9"/>
    <mergeCell ref="J9:K9"/>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 type="list" allowBlank="1" showInputMessage="1" showErrorMessage="1">
          <x14:formula1>
            <xm:f>基本!$A$5:$A$10</xm:f>
          </x14:formula1>
          <xm:sqref>I8 I10 K15</xm:sqref>
        </x14:dataValidation>
        <x14:dataValidation type="list" allowBlank="1" showInputMessage="1" showErrorMessage="1">
          <x14:formula1>
            <xm:f>基本!$D$27:$D$31</xm:f>
          </x14:formula1>
          <xm:sqref>I7</xm:sqref>
        </x14:dataValidation>
        <x14:dataValidation type="list" allowBlank="1" showInputMessage="1" showErrorMessage="1">
          <x14:formula1>
            <xm:f>基本!$A$16:$A$19</xm:f>
          </x14:formula1>
          <xm:sqref>K8</xm:sqref>
        </x14:dataValidation>
        <x14:dataValidation type="list" allowBlank="1" showInputMessage="1" showErrorMessage="1">
          <x14:formula1>
            <xm:f>基本!$C$27:$C$37</xm:f>
          </x14:formula1>
          <xm:sqref>I15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61D02"/>
  </sheetPr>
  <dimension ref="A1:N59"/>
  <sheetViews>
    <sheetView zoomScaleNormal="100" workbookViewId="0">
      <selection activeCell="B2" sqref="B2:G2"/>
    </sheetView>
  </sheetViews>
  <sheetFormatPr defaultRowHeight="13.5"/>
  <cols>
    <col min="1" max="1" width="7.875" style="133" customWidth="1"/>
    <col min="2" max="2" width="8.5" style="133" customWidth="1"/>
    <col min="3" max="3" width="6.625" style="133" customWidth="1"/>
    <col min="4" max="4" width="15.75" style="133" customWidth="1"/>
    <col min="5" max="6" width="15.75" style="88" customWidth="1"/>
    <col min="7" max="7" width="18.25" style="88" customWidth="1"/>
    <col min="8" max="8" width="17.375" style="88" customWidth="1"/>
    <col min="9" max="9" width="14.625" style="88" customWidth="1"/>
    <col min="10" max="10" width="8.375" style="88" customWidth="1"/>
    <col min="11" max="11" width="7.5" style="88" customWidth="1"/>
    <col min="12" max="13" width="7.875" style="133" customWidth="1"/>
    <col min="14" max="14" width="9.25" style="133" customWidth="1"/>
    <col min="15" max="15" width="12.375" style="133" customWidth="1"/>
    <col min="16" max="16384" width="9" style="133"/>
  </cols>
  <sheetData>
    <row r="1" spans="1:14" ht="21">
      <c r="A1" s="39"/>
      <c r="B1" s="676" t="s">
        <v>183</v>
      </c>
      <c r="C1" s="677"/>
      <c r="D1" s="40" t="s">
        <v>39</v>
      </c>
      <c r="E1" s="41" t="s">
        <v>111</v>
      </c>
      <c r="F1" s="678"/>
      <c r="G1" s="679"/>
      <c r="H1" s="93" t="s">
        <v>54</v>
      </c>
    </row>
    <row r="2" spans="1:14" ht="24.75" customHeight="1">
      <c r="A2" s="40" t="s">
        <v>0</v>
      </c>
      <c r="B2" s="680" t="s">
        <v>989</v>
      </c>
      <c r="C2" s="680"/>
      <c r="D2" s="680"/>
      <c r="E2" s="680"/>
      <c r="F2" s="680"/>
      <c r="G2" s="680"/>
      <c r="H2" s="93" t="s">
        <v>55</v>
      </c>
    </row>
    <row r="3" spans="1:14" ht="19.5" customHeight="1">
      <c r="A3" s="99" t="s">
        <v>47</v>
      </c>
      <c r="B3" s="88"/>
      <c r="C3" s="88"/>
      <c r="D3" s="88"/>
      <c r="I3" s="93"/>
    </row>
    <row r="4" spans="1:14">
      <c r="A4" s="72" t="s">
        <v>45</v>
      </c>
      <c r="B4" s="628" t="s">
        <v>184</v>
      </c>
      <c r="C4" s="629"/>
      <c r="D4" s="629"/>
      <c r="E4" s="629"/>
      <c r="F4" s="629"/>
      <c r="G4" s="630"/>
      <c r="H4" s="539" t="s">
        <v>980</v>
      </c>
      <c r="I4" s="540"/>
      <c r="J4" s="540"/>
      <c r="K4" s="540"/>
      <c r="L4" s="540"/>
      <c r="M4" s="541"/>
    </row>
    <row r="5" spans="1:14">
      <c r="A5" s="73" t="s">
        <v>38</v>
      </c>
      <c r="B5" s="628" t="s">
        <v>161</v>
      </c>
      <c r="C5" s="629"/>
      <c r="D5" s="629"/>
      <c r="E5" s="629"/>
      <c r="F5" s="629"/>
      <c r="G5" s="630"/>
      <c r="H5" s="155" t="s">
        <v>42</v>
      </c>
      <c r="I5" s="157" t="s">
        <v>69</v>
      </c>
      <c r="J5" s="157"/>
    </row>
    <row r="6" spans="1:14">
      <c r="A6" s="73" t="s">
        <v>7</v>
      </c>
      <c r="B6" s="628" t="s">
        <v>5</v>
      </c>
      <c r="C6" s="629"/>
      <c r="D6" s="630"/>
      <c r="E6" s="155" t="s">
        <v>42</v>
      </c>
      <c r="F6" s="154" t="str">
        <f>$I$5</f>
        <v>近接範囲</v>
      </c>
      <c r="G6" s="154" t="str">
        <f>IF($J$5 = 0,"", $J$5)</f>
        <v/>
      </c>
      <c r="H6" s="155" t="s">
        <v>65</v>
      </c>
      <c r="I6" s="157" t="s">
        <v>71</v>
      </c>
      <c r="J6" s="295" t="s">
        <v>484</v>
      </c>
    </row>
    <row r="7" spans="1:14">
      <c r="A7" s="74" t="s">
        <v>6</v>
      </c>
      <c r="B7" s="628" t="s">
        <v>286</v>
      </c>
      <c r="C7" s="629"/>
      <c r="D7" s="630"/>
      <c r="E7" s="155" t="s">
        <v>65</v>
      </c>
      <c r="F7" s="195" t="str">
        <f>IF($I$6 = 0,"", $I$6)</f>
        <v>噴射</v>
      </c>
      <c r="G7" s="195" t="str">
        <f>IF($J$6 = 0,"", $J$6)</f>
        <v>5 ( or 6 )</v>
      </c>
      <c r="H7" s="155" t="s">
        <v>84</v>
      </c>
      <c r="I7" s="157" t="s">
        <v>112</v>
      </c>
      <c r="J7" s="93" t="s">
        <v>61</v>
      </c>
      <c r="L7" s="230" t="s">
        <v>343</v>
      </c>
    </row>
    <row r="8" spans="1:14">
      <c r="A8" s="74" t="s">
        <v>8</v>
      </c>
      <c r="B8" s="628" t="s">
        <v>185</v>
      </c>
      <c r="C8" s="629"/>
      <c r="D8" s="629"/>
      <c r="E8" s="629"/>
      <c r="F8" s="629"/>
      <c r="G8" s="630"/>
      <c r="H8" s="155" t="s">
        <v>50</v>
      </c>
      <c r="I8" s="157" t="s">
        <v>139</v>
      </c>
      <c r="J8" s="154">
        <f>IF($I$8 = "筋力",基本!$C$5,IF($I$8 = "耐久力",基本!$C$6,IF($I$8 = "敏捷力",基本!$C$7,IF($I$8 = "知力",基本!$C$8,IF($I$8 = "判断力",基本!$C$9,IF($I$8 = "判断力",基本!$C$10,""))))))</f>
        <v>7</v>
      </c>
      <c r="K8" s="157" t="s">
        <v>21</v>
      </c>
      <c r="L8" s="229">
        <f>$J$8+$L$9+$I$9</f>
        <v>22</v>
      </c>
    </row>
    <row r="9" spans="1:14" ht="14.25" customHeight="1">
      <c r="A9" s="76" t="s">
        <v>9</v>
      </c>
      <c r="B9" s="642" t="s">
        <v>162</v>
      </c>
      <c r="C9" s="643"/>
      <c r="D9" s="643"/>
      <c r="E9" s="643"/>
      <c r="F9" s="643"/>
      <c r="G9" s="644"/>
      <c r="H9" s="155" t="s">
        <v>57</v>
      </c>
      <c r="I9" s="157">
        <v>0</v>
      </c>
      <c r="J9" s="539" t="s">
        <v>52</v>
      </c>
      <c r="K9" s="541"/>
      <c r="L9" s="154">
        <f>IF($I$7=基本!$F$4,基本!$O$7,IF($I$7=基本!$F$13,基本!$O$16,IF($I$7=基本!$F$22,基本!$O$25,IF($I$7=基本!$F$31,基本!$O$34,IF($I$7=基本!$F$40,基本!$O$43,0)))))</f>
        <v>15</v>
      </c>
    </row>
    <row r="10" spans="1:14" ht="14.25" customHeight="1">
      <c r="A10" s="76"/>
      <c r="B10" s="645" t="s">
        <v>186</v>
      </c>
      <c r="C10" s="646"/>
      <c r="D10" s="646"/>
      <c r="E10" s="646"/>
      <c r="F10" s="646"/>
      <c r="G10" s="647"/>
      <c r="H10" s="158" t="s">
        <v>51</v>
      </c>
      <c r="I10" s="157" t="s">
        <v>139</v>
      </c>
      <c r="J10" s="97">
        <f>IF($I$10 = "筋力",基本!$C$5,IF($I$10 = "耐久力",基本!$C$6,IF($I$10 = "敏捷力",基本!$C$7,IF($I$10 = "知力",基本!$C$8,IF($I$10 = "判断力",基本!$C$9,IF($I$10 = "判断力",基本!$C$10,""))))))</f>
        <v>7</v>
      </c>
      <c r="K10" s="503" t="s">
        <v>15</v>
      </c>
      <c r="L10" s="504">
        <f>IF(K10="",0,VLOOKUP(K10,基本!$A$5:'基本'!$C$10,3,FALSE))</f>
        <v>3</v>
      </c>
    </row>
    <row r="11" spans="1:14" ht="14.25" customHeight="1">
      <c r="A11" s="76"/>
      <c r="B11" s="645" t="s">
        <v>187</v>
      </c>
      <c r="C11" s="646"/>
      <c r="D11" s="646"/>
      <c r="E11" s="646"/>
      <c r="F11" s="646"/>
      <c r="G11" s="647"/>
      <c r="H11" s="155" t="s">
        <v>58</v>
      </c>
      <c r="I11" s="157">
        <v>0</v>
      </c>
      <c r="J11" s="539" t="s">
        <v>53</v>
      </c>
      <c r="K11" s="541"/>
      <c r="L11" s="154">
        <f>IF($I$7=基本!$F$4,基本!$O$9,IF($I$7=基本!$F$13,基本!$O$18,IF($I$7=基本!$F$22,基本!$O$27,IF($I$7=基本!$F$31,基本!$O$36,IF($I$7=基本!$F$40,基本!$O$45,0)))))</f>
        <v>4</v>
      </c>
    </row>
    <row r="12" spans="1:14">
      <c r="A12" s="76"/>
      <c r="B12" s="645" t="s">
        <v>779</v>
      </c>
      <c r="C12" s="646"/>
      <c r="D12" s="646"/>
      <c r="E12" s="646"/>
      <c r="F12" s="646"/>
      <c r="G12" s="647"/>
      <c r="H12" s="288"/>
      <c r="I12" s="288"/>
      <c r="J12" s="287"/>
      <c r="K12" s="287"/>
      <c r="L12" s="230" t="s">
        <v>343</v>
      </c>
      <c r="M12" s="506" t="s">
        <v>59</v>
      </c>
    </row>
    <row r="13" spans="1:14" ht="9" customHeight="1">
      <c r="A13" s="76"/>
      <c r="B13" s="601"/>
      <c r="C13" s="523"/>
      <c r="D13" s="523"/>
      <c r="E13" s="523"/>
      <c r="F13" s="523"/>
      <c r="G13" s="602"/>
      <c r="H13" s="505" t="s">
        <v>85</v>
      </c>
      <c r="I13" s="503">
        <v>4</v>
      </c>
      <c r="J13" s="505" t="s">
        <v>43</v>
      </c>
      <c r="K13" s="503">
        <v>10</v>
      </c>
      <c r="L13" s="229">
        <f>J10+IF(I13=0,0,L11)+I11</f>
        <v>11</v>
      </c>
      <c r="M13" s="503" t="s">
        <v>73</v>
      </c>
      <c r="N13" s="100"/>
    </row>
    <row r="14" spans="1:14" ht="1.5" customHeight="1">
      <c r="A14" s="101"/>
      <c r="B14" s="698"/>
      <c r="C14" s="699"/>
      <c r="D14" s="699"/>
      <c r="E14" s="699"/>
      <c r="F14" s="699"/>
      <c r="G14" s="700"/>
      <c r="H14" s="505" t="s">
        <v>49</v>
      </c>
      <c r="I14" s="245">
        <f>IF($I$7=基本!$F$4,基本!$L$11,IF($I$7=基本!$F$13,基本!$L$20,IF($I$7=基本!$F$22,基本!$L$29,IF($I$7=基本!$F$31,基本!$L$38,IF($I$7=基本!$F$40,基本!$L$47,0)))))</f>
        <v>5</v>
      </c>
      <c r="J14" s="505" t="s">
        <v>43</v>
      </c>
      <c r="K14" s="245">
        <f>IF($I$7=基本!$F$4,基本!$N$11,IF($I$7=基本!$F$13,基本!$N$20,IF($I$7=基本!$F$22,基本!$N$29,IF($I$7=基本!$F$31,基本!$N$38,IF($I$7=基本!$F$40,基本!$N$47,0)))))</f>
        <v>12</v>
      </c>
      <c r="L14" s="229">
        <f>L13+(I13*K13)</f>
        <v>51</v>
      </c>
      <c r="M14" s="503" t="s">
        <v>73</v>
      </c>
      <c r="N14" s="100"/>
    </row>
    <row r="15" spans="1:14" ht="1.5" customHeight="1">
      <c r="A15" s="76"/>
      <c r="B15" s="645"/>
      <c r="C15" s="646"/>
      <c r="D15" s="646"/>
      <c r="E15" s="646"/>
      <c r="F15" s="646"/>
      <c r="G15" s="647"/>
      <c r="H15" s="505" t="s">
        <v>982</v>
      </c>
      <c r="I15" s="245">
        <f>I14+2</f>
        <v>7</v>
      </c>
      <c r="J15" s="505" t="s">
        <v>43</v>
      </c>
      <c r="K15" s="245">
        <f>IF($I$7=基本!$F$4,基本!$N$11,IF($I$7=基本!$F$13,基本!$N$20,IF($I$7=基本!$F$22,基本!$N$29,IF($I$7=基本!$F$31,基本!$N$38,IF($I$7=基本!$F$40,基本!$N$47,0)))))</f>
        <v>12</v>
      </c>
      <c r="L15" s="229">
        <f>L14</f>
        <v>51</v>
      </c>
      <c r="M15" s="515">
        <f>L15+(I15*K15)</f>
        <v>135</v>
      </c>
    </row>
    <row r="16" spans="1:14" ht="1.5" customHeight="1">
      <c r="A16" s="77"/>
      <c r="B16" s="603"/>
      <c r="C16" s="604"/>
      <c r="D16" s="604"/>
      <c r="E16" s="604"/>
      <c r="F16" s="604"/>
      <c r="G16" s="605"/>
      <c r="H16" s="133"/>
      <c r="I16" s="133"/>
      <c r="J16" s="133"/>
      <c r="K16" s="133"/>
    </row>
    <row r="17" spans="1:11" ht="14.25" thickBot="1">
      <c r="A17" s="125" t="s">
        <v>46</v>
      </c>
      <c r="E17" s="89"/>
      <c r="H17" s="133"/>
      <c r="I17" s="133"/>
      <c r="J17" s="133"/>
      <c r="K17" s="133"/>
    </row>
    <row r="18" spans="1:11" s="287" customFormat="1" ht="15" customHeight="1">
      <c r="A18" s="701" t="str">
        <f>$B$2</f>
        <v>CD：リビューク・アンデット</v>
      </c>
      <c r="B18" s="702"/>
      <c r="C18" s="703"/>
      <c r="D18" s="662" t="s">
        <v>2</v>
      </c>
      <c r="E18" s="663"/>
      <c r="F18" s="664" t="s">
        <v>479</v>
      </c>
      <c r="G18" s="665"/>
    </row>
    <row r="19" spans="1:11" s="287" customFormat="1" ht="18.75" customHeight="1" thickBot="1">
      <c r="A19" s="704"/>
      <c r="B19" s="705"/>
      <c r="C19" s="706"/>
      <c r="D19" s="312" t="s">
        <v>2</v>
      </c>
      <c r="E19" s="313" t="s">
        <v>1</v>
      </c>
      <c r="F19" s="312" t="s">
        <v>2</v>
      </c>
      <c r="G19" s="314" t="s">
        <v>1</v>
      </c>
    </row>
    <row r="20" spans="1:11" s="287" customFormat="1" ht="24" customHeight="1">
      <c r="A20" s="611" t="s">
        <v>41</v>
      </c>
      <c r="B20" s="315" t="s">
        <v>113</v>
      </c>
      <c r="C20" s="666" t="str">
        <f>$K$8</f>
        <v>意志</v>
      </c>
      <c r="D20" s="316" t="str">
        <f>$L$8 &amp; "+1d20"</f>
        <v>22+1d20</v>
      </c>
      <c r="E20" s="317" t="str">
        <f>$L$8+2 &amp; "+1d20"</f>
        <v>24+1d20</v>
      </c>
      <c r="F20" s="316" t="str">
        <f>$L$8 &amp; "+1d20"</f>
        <v>22+1d20</v>
      </c>
      <c r="G20" s="318" t="str">
        <f>$L$8+2 &amp; "+1d20"</f>
        <v>24+1d20</v>
      </c>
    </row>
    <row r="21" spans="1:11" s="287" customFormat="1" ht="24" customHeight="1">
      <c r="A21" s="612"/>
      <c r="B21" s="332" t="s">
        <v>483</v>
      </c>
      <c r="C21" s="667"/>
      <c r="D21" s="325" t="str">
        <f>2+$L$8 &amp; "+1d20"</f>
        <v>24+1d20</v>
      </c>
      <c r="E21" s="326" t="str">
        <f>2+$L$8+2 &amp; "+1d20"</f>
        <v>26+1d20</v>
      </c>
      <c r="F21" s="325" t="str">
        <f>2+$L$8 &amp; "+1d20"</f>
        <v>24+1d20</v>
      </c>
      <c r="G21" s="327" t="str">
        <f>2+$L$8+2 &amp; "+1d20"</f>
        <v>26+1d20</v>
      </c>
    </row>
    <row r="22" spans="1:11" s="287" customFormat="1" ht="24" customHeight="1">
      <c r="A22" s="612"/>
      <c r="B22" s="328" t="s">
        <v>476</v>
      </c>
      <c r="C22" s="667"/>
      <c r="D22" s="329" t="str">
        <f>3+$L$8 &amp; "+1d20"</f>
        <v>25+1d20</v>
      </c>
      <c r="E22" s="330" t="str">
        <f>3+$L$8+2 &amp; "+1d20"</f>
        <v>27+1d20</v>
      </c>
      <c r="F22" s="329" t="str">
        <f>3+$L$8 &amp; "+1d20"</f>
        <v>25+1d20</v>
      </c>
      <c r="G22" s="331" t="str">
        <f>3+$L$8+2 &amp; "+1d20"</f>
        <v>27+1d20</v>
      </c>
    </row>
    <row r="23" spans="1:11" s="287" customFormat="1" ht="24" customHeight="1" thickBot="1">
      <c r="A23" s="613"/>
      <c r="B23" s="324" t="s">
        <v>482</v>
      </c>
      <c r="C23" s="668"/>
      <c r="D23" s="319" t="str">
        <f>2+3+$L$8 &amp; "+1d20"</f>
        <v>27+1d20</v>
      </c>
      <c r="E23" s="320" t="str">
        <f>2+3+$L$8+2 &amp; "+1d20"</f>
        <v>29+1d20</v>
      </c>
      <c r="F23" s="319" t="str">
        <f>2+3+$L$8 &amp; "+1d20"</f>
        <v>27+1d20</v>
      </c>
      <c r="G23" s="321" t="str">
        <f>2+3+$L$8+2 &amp; "+1d20"</f>
        <v>29+1d20</v>
      </c>
    </row>
    <row r="24" spans="1:11" s="287" customFormat="1" ht="18" customHeight="1">
      <c r="A24" s="631" t="s">
        <v>113</v>
      </c>
      <c r="B24" s="257" t="s">
        <v>4</v>
      </c>
      <c r="C24" s="233" t="str">
        <f>IF($M$13 = 0,"", $M$13)</f>
        <v>光輝</v>
      </c>
      <c r="D24" s="234" t="str">
        <f>$L$13 &amp; "+" &amp; $I$13 &amp; "d" &amp; $K$13</f>
        <v>11+4d10</v>
      </c>
      <c r="E24" s="234" t="str">
        <f>$L$13 &amp; "+" &amp; $I$13 &amp; "d" &amp; $K$13</f>
        <v>11+4d10</v>
      </c>
      <c r="F24" s="234" t="str">
        <f>$L$13+3 &amp; "+" &amp; $I$13 &amp; "d" &amp; $K$13</f>
        <v>14+4d10</v>
      </c>
      <c r="G24" s="235" t="str">
        <f>$L$13+3 &amp; "+" &amp; $I$13 &amp; "d" &amp; $K$13</f>
        <v>14+4d10</v>
      </c>
    </row>
    <row r="25" spans="1:11" s="287" customFormat="1" ht="18" customHeight="1">
      <c r="A25" s="632"/>
      <c r="B25" s="359" t="s">
        <v>3</v>
      </c>
      <c r="C25" s="360" t="str">
        <f>IF($M$14 = 0,"", $M$14)</f>
        <v>光輝</v>
      </c>
      <c r="D25" s="361" t="str">
        <f>$L$14 &amp; "+2d6" &amp; IF($I$14 = 0,"","+" &amp; $I$14 &amp; "d" &amp; $K$14)</f>
        <v>51+2d6+5d12</v>
      </c>
      <c r="E25" s="361" t="str">
        <f>$L$14 &amp; "+2d6" &amp; IF($I$14 = 0,"","+" &amp; $I$14 &amp; "d" &amp; $K$14)</f>
        <v>51+2d6+5d12</v>
      </c>
      <c r="F25" s="361" t="str">
        <f>$L$14+3 &amp; "+2d6" &amp; IF($I$14 = 0,"","+" &amp; $I$14 &amp; "d" &amp; $K$14)</f>
        <v>54+2d6+5d12</v>
      </c>
      <c r="G25" s="363" t="str">
        <f>$L$14+3 &amp; "+2d6" &amp; IF($I$14 = 0,"","+" &amp; $I$14 &amp; "d" &amp; $K$14)</f>
        <v>54+2d6+5d12</v>
      </c>
    </row>
    <row r="26" spans="1:11" s="287" customFormat="1" ht="18" customHeight="1">
      <c r="A26" s="632"/>
      <c r="B26" s="359" t="s">
        <v>982</v>
      </c>
      <c r="C26" s="360" t="str">
        <f>IF($M$14 = 0,"", $M$14)</f>
        <v>光輝</v>
      </c>
      <c r="D26" s="361" t="str">
        <f>$L$15 &amp; "+2d6" &amp; IF($I$15 = 0,"","+" &amp; $I$15 &amp; "d" &amp; $K$15)</f>
        <v>51+2d6+7d12</v>
      </c>
      <c r="E26" s="361" t="str">
        <f>$L$15 &amp; "+2d6" &amp; IF($I$15 = 0,"","+" &amp; $I$15 &amp; "d" &amp; $K$15)</f>
        <v>51+2d6+7d12</v>
      </c>
      <c r="F26" s="361" t="str">
        <f>$L$15+3 &amp; "+2d6" &amp; IF($I$15 = 0,"","+" &amp; $I$15 &amp; "d" &amp; $K$15)</f>
        <v>54+2d6+7d12</v>
      </c>
      <c r="G26" s="363" t="str">
        <f>$L$15+3 &amp; "+2d6" &amp; IF($I$15 = 0,"","+" &amp; $I$15 &amp; "d" &amp; $K$15)</f>
        <v>54+2d6+7d12</v>
      </c>
    </row>
    <row r="27" spans="1:11" s="287" customFormat="1" ht="18" customHeight="1" thickBot="1">
      <c r="A27" s="633"/>
      <c r="B27" s="514" t="s">
        <v>981</v>
      </c>
      <c r="C27" s="507" t="str">
        <f>IF($M$14 = 0,"", $M$14)</f>
        <v>光輝</v>
      </c>
      <c r="D27" s="508">
        <f>$M$15+12</f>
        <v>147</v>
      </c>
      <c r="E27" s="508">
        <f>$M$15+12</f>
        <v>147</v>
      </c>
      <c r="F27" s="508">
        <f>$M$15+3+12</f>
        <v>150</v>
      </c>
      <c r="G27" s="509">
        <f>$M$15+3+12</f>
        <v>150</v>
      </c>
    </row>
    <row r="28" spans="1:11" ht="5.25" customHeight="1">
      <c r="A28" s="523"/>
      <c r="B28" s="523"/>
      <c r="C28" s="523"/>
      <c r="D28" s="523"/>
      <c r="E28" s="523"/>
      <c r="F28" s="523"/>
      <c r="G28" s="523"/>
    </row>
    <row r="29" spans="1:11" ht="14.25">
      <c r="A29" s="517" t="s">
        <v>492</v>
      </c>
      <c r="B29" s="517"/>
      <c r="C29" s="517"/>
      <c r="D29" s="517"/>
      <c r="E29" s="517"/>
      <c r="F29" s="517"/>
      <c r="G29" s="517"/>
    </row>
    <row r="30" spans="1:11" ht="13.5" customHeight="1">
      <c r="A30" s="529" t="s">
        <v>159</v>
      </c>
      <c r="B30" s="529"/>
      <c r="C30" s="529"/>
      <c r="D30" s="529"/>
      <c r="E30" s="529"/>
      <c r="F30" s="529"/>
      <c r="G30" s="529"/>
    </row>
    <row r="31" spans="1:11" ht="13.5" customHeight="1">
      <c r="A31" s="525" t="s">
        <v>160</v>
      </c>
      <c r="B31" s="525"/>
      <c r="C31" s="525"/>
      <c r="D31" s="525"/>
      <c r="E31" s="525"/>
      <c r="F31" s="525"/>
      <c r="G31" s="525"/>
    </row>
    <row r="32" spans="1:11" s="287" customFormat="1" ht="14.25">
      <c r="A32" s="517" t="s">
        <v>815</v>
      </c>
      <c r="B32" s="517"/>
      <c r="C32" s="517"/>
      <c r="D32" s="517"/>
      <c r="E32" s="517"/>
      <c r="F32" s="517"/>
      <c r="G32" s="517"/>
      <c r="H32" s="288"/>
    </row>
    <row r="33" spans="1:13" s="287" customFormat="1" ht="13.5" customHeight="1">
      <c r="A33" s="529" t="s">
        <v>816</v>
      </c>
      <c r="B33" s="529"/>
      <c r="C33" s="529"/>
      <c r="D33" s="529"/>
      <c r="E33" s="529"/>
      <c r="F33" s="529"/>
      <c r="G33" s="529"/>
      <c r="H33" s="288"/>
    </row>
    <row r="34" spans="1:13" s="287" customFormat="1" ht="13.5" customHeight="1">
      <c r="A34" s="529" t="s">
        <v>817</v>
      </c>
      <c r="B34" s="529"/>
      <c r="C34" s="529"/>
      <c r="D34" s="529"/>
      <c r="E34" s="529"/>
      <c r="F34" s="529"/>
      <c r="G34" s="529"/>
      <c r="H34" s="288"/>
    </row>
    <row r="35" spans="1:13" s="287" customFormat="1" ht="14.25">
      <c r="A35" s="517" t="s">
        <v>147</v>
      </c>
      <c r="B35" s="517"/>
      <c r="C35" s="517"/>
      <c r="D35" s="517"/>
      <c r="E35" s="517"/>
      <c r="F35" s="517"/>
      <c r="G35" s="517"/>
      <c r="H35" s="288"/>
    </row>
    <row r="36" spans="1:13" s="287" customFormat="1" ht="14.25">
      <c r="A36" s="517" t="s">
        <v>437</v>
      </c>
      <c r="B36" s="517"/>
      <c r="C36" s="517"/>
      <c r="D36" s="517"/>
      <c r="E36" s="517"/>
      <c r="F36" s="517"/>
      <c r="G36" s="517"/>
      <c r="H36" s="288"/>
    </row>
    <row r="37" spans="1:13" s="287" customFormat="1" ht="13.5" customHeight="1">
      <c r="A37" s="529" t="s">
        <v>506</v>
      </c>
      <c r="B37" s="529"/>
      <c r="C37" s="529"/>
      <c r="D37" s="529"/>
      <c r="E37" s="529"/>
      <c r="F37" s="529"/>
      <c r="G37" s="529"/>
      <c r="H37" s="288"/>
      <c r="I37" s="288"/>
      <c r="J37" s="288"/>
      <c r="K37" s="288"/>
    </row>
    <row r="38" spans="1:13" s="287" customFormat="1" ht="13.5" customHeight="1">
      <c r="A38" s="525" t="s">
        <v>507</v>
      </c>
      <c r="B38" s="525"/>
      <c r="C38" s="525"/>
      <c r="D38" s="525"/>
      <c r="E38" s="525"/>
      <c r="F38" s="525"/>
      <c r="G38" s="525"/>
      <c r="H38" s="288"/>
      <c r="I38" s="288"/>
      <c r="J38" s="288"/>
      <c r="K38" s="288"/>
    </row>
    <row r="39" spans="1:13" s="287" customFormat="1" ht="14.25">
      <c r="A39" s="517" t="s">
        <v>973</v>
      </c>
      <c r="B39" s="517"/>
      <c r="C39" s="517"/>
      <c r="D39" s="517"/>
      <c r="E39" s="517"/>
      <c r="F39" s="517"/>
      <c r="G39" s="517"/>
      <c r="H39" s="288"/>
    </row>
    <row r="40" spans="1:13" s="287" customFormat="1" ht="13.5" customHeight="1">
      <c r="A40" s="529" t="s">
        <v>440</v>
      </c>
      <c r="B40" s="529"/>
      <c r="C40" s="529"/>
      <c r="D40" s="529"/>
      <c r="E40" s="529"/>
      <c r="F40" s="529"/>
      <c r="G40" s="529"/>
      <c r="H40" s="288"/>
      <c r="I40" s="288"/>
      <c r="J40" s="288"/>
      <c r="K40" s="288"/>
    </row>
    <row r="41" spans="1:13" s="287" customFormat="1" ht="13.5" customHeight="1">
      <c r="A41" s="525" t="s">
        <v>441</v>
      </c>
      <c r="B41" s="525"/>
      <c r="C41" s="525"/>
      <c r="D41" s="525"/>
      <c r="E41" s="525"/>
      <c r="F41" s="525"/>
      <c r="G41" s="525"/>
      <c r="H41" s="288"/>
      <c r="I41" s="288"/>
      <c r="J41" s="288"/>
      <c r="K41" s="288"/>
    </row>
    <row r="42" spans="1:13" s="287" customFormat="1" ht="13.5" customHeight="1">
      <c r="A42" s="525" t="s">
        <v>442</v>
      </c>
      <c r="B42" s="525"/>
      <c r="C42" s="525"/>
      <c r="D42" s="525"/>
      <c r="E42" s="525"/>
      <c r="F42" s="525"/>
      <c r="G42" s="525"/>
      <c r="H42" s="288"/>
      <c r="I42" s="288"/>
      <c r="J42" s="288"/>
      <c r="K42" s="288"/>
    </row>
    <row r="43" spans="1:13" ht="5.25" customHeight="1">
      <c r="A43" s="604"/>
      <c r="B43" s="604"/>
      <c r="C43" s="604"/>
      <c r="D43" s="604"/>
      <c r="E43" s="604"/>
      <c r="F43" s="604"/>
      <c r="G43" s="604"/>
    </row>
    <row r="44" spans="1:13">
      <c r="A44" s="619" t="s">
        <v>48</v>
      </c>
      <c r="B44" s="620"/>
      <c r="C44" s="620"/>
      <c r="D44" s="620"/>
      <c r="E44" s="620"/>
      <c r="F44" s="620"/>
      <c r="G44" s="621"/>
    </row>
    <row r="45" spans="1:13" s="88" customFormat="1" ht="3.75" customHeight="1">
      <c r="A45" s="707"/>
      <c r="B45" s="517"/>
      <c r="C45" s="517"/>
      <c r="D45" s="517"/>
      <c r="E45" s="517"/>
      <c r="F45" s="517"/>
      <c r="G45" s="708"/>
      <c r="L45" s="133"/>
      <c r="M45" s="133"/>
    </row>
    <row r="46" spans="1:13" s="88" customFormat="1" ht="15.75" customHeight="1">
      <c r="A46" s="669" t="s">
        <v>546</v>
      </c>
      <c r="B46" s="670"/>
      <c r="C46" s="670"/>
      <c r="D46" s="670"/>
      <c r="E46" s="670"/>
      <c r="F46" s="670"/>
      <c r="G46" s="671"/>
      <c r="L46" s="133"/>
      <c r="M46" s="133"/>
    </row>
    <row r="47" spans="1:13" s="88" customFormat="1" ht="5.25" customHeight="1">
      <c r="A47" s="614"/>
      <c r="B47" s="520"/>
      <c r="C47" s="520"/>
      <c r="D47" s="520"/>
      <c r="E47" s="520"/>
      <c r="F47" s="520"/>
      <c r="G47" s="615"/>
      <c r="L47" s="133"/>
      <c r="M47" s="133"/>
    </row>
    <row r="48" spans="1:13" s="88" customFormat="1" ht="13.5" customHeight="1">
      <c r="A48" s="614" t="s">
        <v>408</v>
      </c>
      <c r="B48" s="520"/>
      <c r="C48" s="520"/>
      <c r="D48" s="520"/>
      <c r="E48" s="520"/>
      <c r="F48" s="520"/>
      <c r="G48" s="615"/>
      <c r="L48" s="133"/>
      <c r="M48" s="133"/>
    </row>
    <row r="49" spans="1:13" s="280" customFormat="1" ht="13.5" customHeight="1">
      <c r="A49" s="614" t="s">
        <v>409</v>
      </c>
      <c r="B49" s="520"/>
      <c r="C49" s="520"/>
      <c r="D49" s="520"/>
      <c r="E49" s="520"/>
      <c r="F49" s="520"/>
      <c r="G49" s="615"/>
      <c r="L49" s="279"/>
      <c r="M49" s="279"/>
    </row>
    <row r="50" spans="1:13" s="288" customFormat="1" ht="13.5" customHeight="1">
      <c r="A50" s="614" t="s">
        <v>543</v>
      </c>
      <c r="B50" s="520"/>
      <c r="C50" s="520"/>
      <c r="D50" s="520"/>
      <c r="E50" s="520"/>
      <c r="F50" s="520"/>
      <c r="G50" s="615"/>
      <c r="L50" s="287"/>
      <c r="M50" s="287"/>
    </row>
    <row r="51" spans="1:13" s="280" customFormat="1" ht="13.5" customHeight="1">
      <c r="A51" s="614" t="s">
        <v>544</v>
      </c>
      <c r="B51" s="520"/>
      <c r="C51" s="520"/>
      <c r="D51" s="520"/>
      <c r="E51" s="520"/>
      <c r="F51" s="520"/>
      <c r="G51" s="615"/>
      <c r="L51" s="279"/>
      <c r="M51" s="279"/>
    </row>
    <row r="52" spans="1:13" s="280" customFormat="1" ht="13.5" customHeight="1">
      <c r="A52" s="614" t="s">
        <v>999</v>
      </c>
      <c r="B52" s="520"/>
      <c r="C52" s="520"/>
      <c r="D52" s="520"/>
      <c r="E52" s="520"/>
      <c r="F52" s="520"/>
      <c r="G52" s="615"/>
      <c r="L52" s="279"/>
      <c r="M52" s="279"/>
    </row>
    <row r="53" spans="1:13" s="280" customFormat="1" ht="13.5" customHeight="1">
      <c r="A53" s="614" t="s">
        <v>410</v>
      </c>
      <c r="B53" s="520"/>
      <c r="C53" s="520"/>
      <c r="D53" s="520"/>
      <c r="E53" s="520"/>
      <c r="F53" s="520"/>
      <c r="G53" s="615"/>
      <c r="L53" s="279"/>
      <c r="M53" s="279"/>
    </row>
    <row r="54" spans="1:13" s="280" customFormat="1" ht="13.5" customHeight="1">
      <c r="A54" s="614" t="s">
        <v>411</v>
      </c>
      <c r="B54" s="520"/>
      <c r="C54" s="520"/>
      <c r="D54" s="520"/>
      <c r="E54" s="520"/>
      <c r="F54" s="520"/>
      <c r="G54" s="615"/>
      <c r="L54" s="279"/>
      <c r="M54" s="279"/>
    </row>
    <row r="55" spans="1:13" s="280" customFormat="1" ht="13.5" customHeight="1">
      <c r="A55" s="614" t="s">
        <v>412</v>
      </c>
      <c r="B55" s="520"/>
      <c r="C55" s="520"/>
      <c r="D55" s="520"/>
      <c r="E55" s="520"/>
      <c r="F55" s="520"/>
      <c r="G55" s="615"/>
      <c r="L55" s="279"/>
      <c r="M55" s="279"/>
    </row>
    <row r="56" spans="1:13" s="283" customFormat="1" ht="13.5" customHeight="1">
      <c r="A56" s="614" t="s">
        <v>547</v>
      </c>
      <c r="B56" s="520"/>
      <c r="C56" s="520"/>
      <c r="D56" s="520"/>
      <c r="E56" s="520"/>
      <c r="F56" s="520"/>
      <c r="G56" s="615"/>
      <c r="L56" s="284"/>
      <c r="M56" s="284"/>
    </row>
    <row r="57" spans="1:13" s="283" customFormat="1" ht="13.5" customHeight="1">
      <c r="A57" s="614" t="s">
        <v>545</v>
      </c>
      <c r="B57" s="520"/>
      <c r="C57" s="520"/>
      <c r="D57" s="520"/>
      <c r="E57" s="520"/>
      <c r="F57" s="520"/>
      <c r="G57" s="615"/>
      <c r="L57" s="284"/>
      <c r="M57" s="284"/>
    </row>
    <row r="58" spans="1:13" s="88" customFormat="1" ht="5.25" customHeight="1">
      <c r="A58" s="614"/>
      <c r="B58" s="520"/>
      <c r="C58" s="520"/>
      <c r="D58" s="520"/>
      <c r="E58" s="520"/>
      <c r="F58" s="520"/>
      <c r="G58" s="615"/>
      <c r="L58" s="133"/>
      <c r="M58" s="133"/>
    </row>
    <row r="59" spans="1:13" s="88" customFormat="1" ht="21">
      <c r="A59" s="689" t="str">
        <f>$B$1</f>
        <v>クラス特徴</v>
      </c>
      <c r="B59" s="690"/>
      <c r="C59" s="37" t="s">
        <v>39</v>
      </c>
      <c r="D59" s="38" t="str">
        <f>$E$1</f>
        <v>遭遇毎</v>
      </c>
      <c r="E59" s="691" t="str">
        <f>$B$2</f>
        <v>CD：リビューク・アンデット</v>
      </c>
      <c r="F59" s="692"/>
      <c r="G59" s="693"/>
      <c r="L59" s="133"/>
      <c r="M59" s="133"/>
    </row>
  </sheetData>
  <mergeCells count="58">
    <mergeCell ref="A46:G46"/>
    <mergeCell ref="A48:G48"/>
    <mergeCell ref="A51:G51"/>
    <mergeCell ref="A52:G52"/>
    <mergeCell ref="A49:G49"/>
    <mergeCell ref="A50:G50"/>
    <mergeCell ref="E59:G59"/>
    <mergeCell ref="A47:G47"/>
    <mergeCell ref="A58:G58"/>
    <mergeCell ref="A59:B59"/>
    <mergeCell ref="A53:G53"/>
    <mergeCell ref="A54:G54"/>
    <mergeCell ref="A55:G55"/>
    <mergeCell ref="A56:G56"/>
    <mergeCell ref="A57:G57"/>
    <mergeCell ref="A45:G45"/>
    <mergeCell ref="A28:G28"/>
    <mergeCell ref="A29:G29"/>
    <mergeCell ref="A30:G30"/>
    <mergeCell ref="A31:G31"/>
    <mergeCell ref="A36:G36"/>
    <mergeCell ref="A37:G37"/>
    <mergeCell ref="A38:G38"/>
    <mergeCell ref="A39:G39"/>
    <mergeCell ref="A40:G40"/>
    <mergeCell ref="A41:G41"/>
    <mergeCell ref="A35:G35"/>
    <mergeCell ref="A42:G42"/>
    <mergeCell ref="A43:G43"/>
    <mergeCell ref="B13:G13"/>
    <mergeCell ref="B14:G14"/>
    <mergeCell ref="B15:G15"/>
    <mergeCell ref="B16:G16"/>
    <mergeCell ref="A44:G44"/>
    <mergeCell ref="A18:C19"/>
    <mergeCell ref="D18:E18"/>
    <mergeCell ref="F18:G18"/>
    <mergeCell ref="A20:A23"/>
    <mergeCell ref="C20:C23"/>
    <mergeCell ref="A32:G32"/>
    <mergeCell ref="A33:G33"/>
    <mergeCell ref="A34:G34"/>
    <mergeCell ref="A24:A27"/>
    <mergeCell ref="B12:G12"/>
    <mergeCell ref="J11:K11"/>
    <mergeCell ref="J9:K9"/>
    <mergeCell ref="B11:G11"/>
    <mergeCell ref="B1:C1"/>
    <mergeCell ref="F1:G1"/>
    <mergeCell ref="B2:G2"/>
    <mergeCell ref="B4:G4"/>
    <mergeCell ref="B5:G5"/>
    <mergeCell ref="B6:D6"/>
    <mergeCell ref="B7:D7"/>
    <mergeCell ref="B8:G8"/>
    <mergeCell ref="B9:G9"/>
    <mergeCell ref="B10:G10"/>
    <mergeCell ref="H4:M4"/>
  </mergeCells>
  <phoneticPr fontId="1"/>
  <pageMargins left="0.70866141732283472" right="0.70866141732283472" top="0.74803149606299213" bottom="0.19685039370078741" header="0.31496062992125984" footer="0.31496062992125984"/>
  <pageSetup paperSize="9" orientation="portrait" horizontalDpi="300" verticalDpi="300" r:id="rId1"/>
  <headerFooter>
    <oddHeader>&amp;Cスミス&amp;R&amp;D</oddHead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K8</xm:sqref>
        </x14:dataValidation>
        <x14:dataValidation type="list" allowBlank="1" showInputMessage="1" showErrorMessage="1">
          <x14:formula1>
            <xm:f>基本!$D$27:$D$31</xm:f>
          </x14:formula1>
          <xm:sqref>I7</xm:sqref>
        </x14:dataValidation>
        <x14:dataValidation type="list" allowBlank="1" showInputMessage="1" showErrorMessage="1">
          <x14:formula1>
            <xm:f>基本!$A$5:$A$10</xm:f>
          </x14:formula1>
          <xm:sqref>I8 I10 K15</xm:sqref>
        </x14:dataValidation>
        <x14:dataValidation type="list" allowBlank="1" showInputMessage="1" showErrorMessage="1">
          <x14:formula1>
            <xm:f>基本!$B$27:$B$31</xm:f>
          </x14:formula1>
          <xm:sqref>I6</xm:sqref>
        </x14:dataValidation>
        <x14:dataValidation type="list" allowBlank="1" showInputMessage="1" showErrorMessage="1">
          <x14:formula1>
            <xm:f>基本!$A$27:$A$33</xm:f>
          </x14:formula1>
          <xm:sqref>I5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コンセプト</vt:lpstr>
      <vt:lpstr>召喚</vt:lpstr>
      <vt:lpstr>基本</vt:lpstr>
      <vt:lpstr>技能</vt:lpstr>
      <vt:lpstr>近接基礎</vt:lpstr>
      <vt:lpstr>無01A</vt:lpstr>
      <vt:lpstr>無01B</vt:lpstr>
      <vt:lpstr>アイテム遭</vt:lpstr>
      <vt:lpstr>CDA</vt:lpstr>
      <vt:lpstr>CDB</vt:lpstr>
      <vt:lpstr>遭07</vt:lpstr>
      <vt:lpstr>遭11</vt:lpstr>
      <vt:lpstr>遭13</vt:lpstr>
      <vt:lpstr>遭17</vt:lpstr>
      <vt:lpstr>日01</vt:lpstr>
      <vt:lpstr>日15</vt:lpstr>
      <vt:lpstr>テーマ日</vt:lpstr>
      <vt:lpstr>日09</vt:lpstr>
      <vt:lpstr>ｱｲﾃﾑ日</vt:lpstr>
      <vt:lpstr>アイテム無</vt:lpstr>
      <vt:lpstr>種族遭</vt:lpstr>
      <vt:lpstr>汎02</vt:lpstr>
      <vt:lpstr>汎06</vt:lpstr>
      <vt:lpstr>汎10</vt:lpstr>
      <vt:lpstr>汎12</vt:lpstr>
      <vt:lpstr>汎16</vt:lpstr>
      <vt:lpstr>儀式01</vt:lpstr>
      <vt:lpstr>儀式02</vt:lpstr>
      <vt:lpstr>儀式03</vt:lpstr>
      <vt:lpstr>儀式04</vt:lpstr>
      <vt:lpstr>儀式05</vt:lpstr>
      <vt:lpstr>遭20</vt:lpstr>
      <vt:lpstr>日01旧</vt:lpstr>
      <vt:lpstr>遭03旧</vt:lpstr>
      <vt:lpstr>遭1旧</vt:lpstr>
      <vt:lpstr>CDA!Print_Area</vt:lpstr>
      <vt:lpstr>CDB!Print_Area</vt:lpstr>
      <vt:lpstr>アイテム遭!Print_Area</vt:lpstr>
      <vt:lpstr>ｱｲﾃﾑ日!Print_Area</vt:lpstr>
      <vt:lpstr>アイテム無!Print_Area</vt:lpstr>
      <vt:lpstr>テーマ日!Print_Area</vt:lpstr>
      <vt:lpstr>基本!Print_Area</vt:lpstr>
      <vt:lpstr>儀式01!Print_Area</vt:lpstr>
      <vt:lpstr>儀式02!Print_Area</vt:lpstr>
      <vt:lpstr>儀式03!Print_Area</vt:lpstr>
      <vt:lpstr>儀式04!Print_Area</vt:lpstr>
      <vt:lpstr>儀式05!Print_Area</vt:lpstr>
      <vt:lpstr>近接基礎!Print_Area</vt:lpstr>
      <vt:lpstr>種族遭!Print_Area</vt:lpstr>
      <vt:lpstr>遭03旧!Print_Area</vt:lpstr>
      <vt:lpstr>遭07!Print_Area</vt:lpstr>
      <vt:lpstr>遭11!Print_Area</vt:lpstr>
      <vt:lpstr>遭13!Print_Area</vt:lpstr>
      <vt:lpstr>遭17!Print_Area</vt:lpstr>
      <vt:lpstr>遭1旧!Print_Area</vt:lpstr>
      <vt:lpstr>遭20!Print_Area</vt:lpstr>
      <vt:lpstr>日01!Print_Area</vt:lpstr>
      <vt:lpstr>日01旧!Print_Area</vt:lpstr>
      <vt:lpstr>日09!Print_Area</vt:lpstr>
      <vt:lpstr>日15!Print_Area</vt:lpstr>
      <vt:lpstr>汎02!Print_Area</vt:lpstr>
      <vt:lpstr>汎06!Print_Area</vt:lpstr>
      <vt:lpstr>汎10!Print_Area</vt:lpstr>
      <vt:lpstr>汎12!Print_Area</vt:lpstr>
      <vt:lpstr>汎16!Print_Area</vt:lpstr>
      <vt:lpstr>無01A!Print_Area</vt:lpstr>
      <vt:lpstr>無01B!Print_Area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CAMEL</dc:creator>
  <cp:lastModifiedBy>CAMEL</cp:lastModifiedBy>
  <cp:lastPrinted>2016-06-18T17:34:12Z</cp:lastPrinted>
  <dcterms:created xsi:type="dcterms:W3CDTF">2012-08-09T16:34:12Z</dcterms:created>
  <dcterms:modified xsi:type="dcterms:W3CDTF">2016-07-14T09:47:52Z</dcterms:modified>
</cp:coreProperties>
</file>