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285" windowHeight="8175" tabRatio="693" firstSheet="8" activeTab="12"/>
  </bookViews>
  <sheets>
    <sheet name="基本" sheetId="2" r:id="rId1"/>
    <sheet name="一覧" sheetId="47" r:id="rId2"/>
    <sheet name="近接基礎" sheetId="55" r:id="rId3"/>
    <sheet name="遠隔基礎" sheetId="56" r:id="rId4"/>
    <sheet name="無01_1" sheetId="53" r:id="rId5"/>
    <sheet name="無01_2" sheetId="33" r:id="rId6"/>
    <sheet name="遭03" sheetId="13" r:id="rId7"/>
    <sheet name="遭07" sheetId="14" r:id="rId8"/>
    <sheet name="遭11" sheetId="34" r:id="rId9"/>
    <sheet name="遭13" sheetId="35" r:id="rId10"/>
    <sheet name="日05" sheetId="39" r:id="rId11"/>
    <sheet name="日09" sheetId="40" r:id="rId12"/>
    <sheet name="日15" sheetId="57" r:id="rId13"/>
    <sheet name="クラス日_1" sheetId="54" r:id="rId14"/>
    <sheet name="汎02" sheetId="58" r:id="rId15"/>
    <sheet name="汎06" sheetId="24" r:id="rId16"/>
    <sheet name="汎10" sheetId="27" r:id="rId17"/>
    <sheet name="汎12" sheetId="38" r:id="rId18"/>
    <sheet name="種族遭" sheetId="48" r:id="rId19"/>
  </sheets>
  <externalReferences>
    <externalReference r:id="rId20"/>
  </externalReferences>
  <definedNames>
    <definedName name="_xlnm.Print_Area" localSheetId="13">クラス日_1!$A$1:$G$57</definedName>
    <definedName name="_xlnm.Print_Area" localSheetId="3">遠隔基礎!$A$1:$G$49</definedName>
    <definedName name="_xlnm.Print_Area" localSheetId="0">基本!$A$1:$O$38</definedName>
    <definedName name="_xlnm.Print_Area" localSheetId="2">近接基礎!$A$1:$G$51</definedName>
    <definedName name="_xlnm.Print_Area" localSheetId="18">種族遭!$A$1:$G$55</definedName>
    <definedName name="_xlnm.Print_Area" localSheetId="6">遭03!$A$1:$G$53</definedName>
    <definedName name="_xlnm.Print_Area" localSheetId="7">遭07!$A$1:$G$54</definedName>
    <definedName name="_xlnm.Print_Area" localSheetId="8">遭11!$A$1:$G$55</definedName>
    <definedName name="_xlnm.Print_Area" localSheetId="9">遭13!$A$1:$G$53</definedName>
    <definedName name="_xlnm.Print_Area" localSheetId="10">日05!$A$1:$G$52</definedName>
    <definedName name="_xlnm.Print_Area" localSheetId="11">日09!$A$1:$G$54</definedName>
    <definedName name="_xlnm.Print_Area" localSheetId="12">日15!$A$1:$G$58</definedName>
    <definedName name="_xlnm.Print_Area" localSheetId="14">汎02!$A$1:$G$53</definedName>
    <definedName name="_xlnm.Print_Area" localSheetId="15">汎06!$A$1:$G$57</definedName>
    <definedName name="_xlnm.Print_Area" localSheetId="16">汎10!$A$1:$G$59</definedName>
    <definedName name="_xlnm.Print_Area" localSheetId="17">汎12!$A$1:$G$55</definedName>
    <definedName name="_xlnm.Print_Area" localSheetId="4">無01_1!$A$1:$G$50</definedName>
    <definedName name="_xlnm.Print_Area" localSheetId="5">無01_2!$A$1:$G$52</definedName>
  </definedNames>
  <calcPr calcId="145621"/>
</workbook>
</file>

<file path=xl/calcChain.xml><?xml version="1.0" encoding="utf-8"?>
<calcChain xmlns="http://schemas.openxmlformats.org/spreadsheetml/2006/main">
  <c r="K17" i="57" l="1"/>
  <c r="I17" i="57"/>
  <c r="K16" i="57"/>
  <c r="I16" i="57"/>
  <c r="L12" i="57"/>
  <c r="J11" i="57"/>
  <c r="L10" i="57"/>
  <c r="J9" i="57"/>
  <c r="K17" i="58"/>
  <c r="I17" i="58"/>
  <c r="K16" i="58"/>
  <c r="I16" i="58"/>
  <c r="L12" i="58"/>
  <c r="J11" i="58"/>
  <c r="L10" i="58"/>
  <c r="J9" i="58"/>
  <c r="B53" i="47" l="1"/>
  <c r="G53" i="47"/>
  <c r="G62" i="47"/>
  <c r="F63" i="47"/>
  <c r="E63" i="47"/>
  <c r="B62" i="47"/>
  <c r="A53" i="47"/>
  <c r="A62" i="47"/>
  <c r="E53" i="58"/>
  <c r="D53" i="58"/>
  <c r="B53" i="58"/>
  <c r="G7" i="58"/>
  <c r="F7" i="58"/>
  <c r="D63" i="47" s="1"/>
  <c r="G6" i="58"/>
  <c r="C63" i="47" s="1"/>
  <c r="F6" i="58"/>
  <c r="B63" i="47" s="1"/>
  <c r="F21" i="40" l="1"/>
  <c r="E21" i="40"/>
  <c r="D21" i="40"/>
  <c r="D24" i="40"/>
  <c r="F27" i="40"/>
  <c r="F24" i="40"/>
  <c r="E24" i="40"/>
  <c r="E27" i="40"/>
  <c r="D27" i="40"/>
  <c r="E58" i="57"/>
  <c r="D58" i="57"/>
  <c r="B58" i="57"/>
  <c r="G7" i="57"/>
  <c r="E54" i="47" s="1"/>
  <c r="F7" i="57"/>
  <c r="D54" i="47" s="1"/>
  <c r="G6" i="57"/>
  <c r="C54" i="47" s="1"/>
  <c r="F6" i="57"/>
  <c r="B54" i="47" s="1"/>
  <c r="F62" i="47" l="1"/>
  <c r="G22" i="47"/>
  <c r="G45" i="47"/>
  <c r="G41" i="47"/>
  <c r="F44" i="47"/>
  <c r="G43" i="47"/>
  <c r="F43" i="47"/>
  <c r="B43" i="47"/>
  <c r="A43" i="47"/>
  <c r="F40" i="47"/>
  <c r="G39" i="47"/>
  <c r="F39" i="47"/>
  <c r="B39" i="47"/>
  <c r="A39" i="47"/>
  <c r="F37" i="47"/>
  <c r="G36" i="47"/>
  <c r="F36" i="47"/>
  <c r="B36" i="47"/>
  <c r="A36" i="47"/>
  <c r="F34" i="47"/>
  <c r="G33" i="47"/>
  <c r="F33" i="47"/>
  <c r="B33" i="47"/>
  <c r="A33" i="47"/>
  <c r="F31" i="47"/>
  <c r="G30" i="47"/>
  <c r="B30" i="47"/>
  <c r="A30" i="47"/>
  <c r="F17" i="47"/>
  <c r="G16" i="47"/>
  <c r="F16" i="47"/>
  <c r="B16" i="47"/>
  <c r="A16" i="47"/>
  <c r="F21" i="47"/>
  <c r="G20" i="47"/>
  <c r="F20" i="47"/>
  <c r="B20" i="47"/>
  <c r="A20" i="47"/>
  <c r="G50" i="47"/>
  <c r="G46" i="47"/>
  <c r="G26" i="47"/>
  <c r="G23" i="47"/>
  <c r="G13" i="47"/>
  <c r="G9" i="47"/>
  <c r="G6" i="47"/>
  <c r="I17" i="27"/>
  <c r="K17" i="27"/>
  <c r="I18" i="27"/>
  <c r="K18" i="27"/>
  <c r="A17" i="14" l="1"/>
  <c r="A14" i="34"/>
  <c r="A17" i="35"/>
  <c r="A17" i="33"/>
  <c r="A17" i="13"/>
  <c r="A19" i="40"/>
  <c r="A14" i="39"/>
  <c r="K17" i="35"/>
  <c r="I17" i="35"/>
  <c r="K17" i="34"/>
  <c r="I17" i="34"/>
  <c r="K17" i="14"/>
  <c r="I17" i="14"/>
  <c r="K17" i="13"/>
  <c r="I17" i="13"/>
  <c r="K17" i="33"/>
  <c r="I17" i="33"/>
  <c r="C24" i="40"/>
  <c r="C23" i="40"/>
  <c r="C21" i="40"/>
  <c r="C21" i="13"/>
  <c r="C20" i="13"/>
  <c r="C19" i="13"/>
  <c r="D32" i="47" s="1"/>
  <c r="C21" i="35" l="1"/>
  <c r="C20" i="35"/>
  <c r="C19" i="35"/>
  <c r="C18" i="34"/>
  <c r="C17" i="34"/>
  <c r="C16" i="34"/>
  <c r="D35" i="47" s="1"/>
  <c r="C21" i="14"/>
  <c r="C20" i="14"/>
  <c r="C19" i="14"/>
  <c r="C21" i="33"/>
  <c r="C20" i="33"/>
  <c r="C19" i="33"/>
  <c r="K17" i="53"/>
  <c r="I17" i="53"/>
  <c r="A17" i="53"/>
  <c r="A17" i="56"/>
  <c r="B19" i="56"/>
  <c r="D11" i="47" s="1"/>
  <c r="B19" i="55" l="1"/>
  <c r="D8" i="47" s="1"/>
  <c r="K16" i="34"/>
  <c r="I16" i="34"/>
  <c r="F10" i="47" l="1"/>
  <c r="F9" i="47"/>
  <c r="F7" i="47"/>
  <c r="B6" i="47"/>
  <c r="B9" i="47"/>
  <c r="E49" i="56"/>
  <c r="C23" i="56"/>
  <c r="C22" i="56"/>
  <c r="A22" i="56"/>
  <c r="C21" i="56"/>
  <c r="C20" i="56"/>
  <c r="K17" i="56"/>
  <c r="I17" i="56"/>
  <c r="K16" i="56"/>
  <c r="I16" i="56"/>
  <c r="G7" i="56"/>
  <c r="E10" i="47" s="1"/>
  <c r="F7" i="56"/>
  <c r="D10" i="47" s="1"/>
  <c r="G6" i="56"/>
  <c r="C10" i="47" s="1"/>
  <c r="F6" i="56"/>
  <c r="B10" i="47" s="1"/>
  <c r="E51" i="55"/>
  <c r="C23" i="55"/>
  <c r="C22" i="55"/>
  <c r="A22" i="55"/>
  <c r="C21" i="55"/>
  <c r="C20" i="55"/>
  <c r="K17" i="55"/>
  <c r="I17" i="55"/>
  <c r="A17" i="55"/>
  <c r="K16" i="55"/>
  <c r="I16" i="55"/>
  <c r="G7" i="55"/>
  <c r="E7" i="47" s="1"/>
  <c r="F7" i="55"/>
  <c r="D7" i="47" s="1"/>
  <c r="G6" i="55"/>
  <c r="C7" i="47" s="1"/>
  <c r="F6" i="55"/>
  <c r="B7" i="47" s="1"/>
  <c r="A25" i="40"/>
  <c r="C27" i="40"/>
  <c r="C26" i="40"/>
  <c r="A20" i="39"/>
  <c r="C21" i="39"/>
  <c r="C18" i="39"/>
  <c r="A22" i="33"/>
  <c r="A22" i="13"/>
  <c r="A22" i="14"/>
  <c r="A19" i="34"/>
  <c r="A22" i="35"/>
  <c r="A22" i="53"/>
  <c r="C22" i="39"/>
  <c r="C19" i="39"/>
  <c r="C16" i="39"/>
  <c r="D18" i="47" s="1"/>
  <c r="B13" i="13"/>
  <c r="C23" i="53"/>
  <c r="C22" i="53"/>
  <c r="C21" i="53"/>
  <c r="C20" i="53"/>
  <c r="C19" i="53"/>
  <c r="D22" i="47" s="1"/>
  <c r="C23" i="33"/>
  <c r="C22" i="33"/>
  <c r="C23" i="13"/>
  <c r="C22" i="13"/>
  <c r="C23" i="14"/>
  <c r="C22" i="14"/>
  <c r="K17" i="39" l="1"/>
  <c r="K17" i="40"/>
  <c r="K17" i="54"/>
  <c r="K17" i="24"/>
  <c r="K17" i="38"/>
  <c r="K17" i="48"/>
  <c r="I17" i="39"/>
  <c r="I17" i="40"/>
  <c r="I17" i="54"/>
  <c r="I17" i="24"/>
  <c r="I17" i="38"/>
  <c r="I17" i="48"/>
  <c r="C19" i="34" l="1"/>
  <c r="C22" i="35"/>
  <c r="C20" i="34"/>
  <c r="C23" i="35"/>
  <c r="E57" i="54"/>
  <c r="D57" i="54"/>
  <c r="B57" i="54"/>
  <c r="K16" i="54"/>
  <c r="I16" i="54"/>
  <c r="G7" i="54"/>
  <c r="F7" i="54"/>
  <c r="G6" i="54"/>
  <c r="F6" i="54"/>
  <c r="K16" i="33" l="1"/>
  <c r="K16" i="13"/>
  <c r="K16" i="14"/>
  <c r="K16" i="35"/>
  <c r="K16" i="39"/>
  <c r="K16" i="40"/>
  <c r="K16" i="24"/>
  <c r="K16" i="38"/>
  <c r="K16" i="48"/>
  <c r="K16" i="53"/>
  <c r="I16" i="33"/>
  <c r="I16" i="13"/>
  <c r="I16" i="14"/>
  <c r="I16" i="35"/>
  <c r="I16" i="39"/>
  <c r="I16" i="40"/>
  <c r="I16" i="24"/>
  <c r="I16" i="38"/>
  <c r="I16" i="48"/>
  <c r="I16" i="53"/>
  <c r="E50" i="53"/>
  <c r="D50" i="53"/>
  <c r="B50" i="53"/>
  <c r="G7" i="53"/>
  <c r="E21" i="47" s="1"/>
  <c r="F7" i="53"/>
  <c r="D21" i="47" s="1"/>
  <c r="G6" i="53"/>
  <c r="C21" i="47" s="1"/>
  <c r="F6" i="53"/>
  <c r="B21" i="47" s="1"/>
  <c r="D29" i="2"/>
  <c r="D28" i="2"/>
  <c r="D27" i="2"/>
  <c r="D26" i="2"/>
  <c r="D25" i="2"/>
  <c r="F51" i="47" l="1"/>
  <c r="G6" i="13" l="1"/>
  <c r="C31" i="47" s="1"/>
  <c r="O45" i="2" l="1"/>
  <c r="D13" i="2" l="1"/>
  <c r="C13" i="2"/>
  <c r="E55" i="48"/>
  <c r="D55" i="48"/>
  <c r="B55" i="48"/>
  <c r="G7" i="48"/>
  <c r="E44" i="47" s="1"/>
  <c r="F7" i="48"/>
  <c r="D44" i="47" s="1"/>
  <c r="G6" i="48"/>
  <c r="C44" i="47" s="1"/>
  <c r="F6" i="48"/>
  <c r="B44" i="47" s="1"/>
  <c r="F50" i="47"/>
  <c r="B50" i="47"/>
  <c r="A50" i="47"/>
  <c r="F47" i="47"/>
  <c r="B46" i="47"/>
  <c r="A46" i="47"/>
  <c r="F27" i="47"/>
  <c r="F26" i="47"/>
  <c r="B26" i="47"/>
  <c r="A26" i="47"/>
  <c r="F24" i="47"/>
  <c r="F23" i="47"/>
  <c r="B23" i="47"/>
  <c r="A23" i="47"/>
  <c r="F14" i="47"/>
  <c r="F13" i="47"/>
  <c r="B13" i="47"/>
  <c r="A13" i="47"/>
  <c r="E55" i="34" l="1"/>
  <c r="D25" i="47"/>
  <c r="G7" i="27"/>
  <c r="E37" i="47" s="1"/>
  <c r="E54" i="40" l="1"/>
  <c r="D54" i="40"/>
  <c r="B54" i="40"/>
  <c r="D48" i="47"/>
  <c r="G7" i="40"/>
  <c r="E47" i="47" s="1"/>
  <c r="F7" i="40"/>
  <c r="D47" i="47" s="1"/>
  <c r="G6" i="40"/>
  <c r="C47" i="47" s="1"/>
  <c r="F6" i="40"/>
  <c r="B47" i="47" s="1"/>
  <c r="E52" i="39"/>
  <c r="D52" i="39"/>
  <c r="B52" i="39"/>
  <c r="G7" i="39"/>
  <c r="E17" i="47" s="1"/>
  <c r="F7" i="39"/>
  <c r="D17" i="47" s="1"/>
  <c r="G6" i="39"/>
  <c r="C17" i="47" s="1"/>
  <c r="F6" i="39"/>
  <c r="B17" i="47" s="1"/>
  <c r="E55" i="38"/>
  <c r="D55" i="38"/>
  <c r="B55" i="38"/>
  <c r="G7" i="38"/>
  <c r="E40" i="47" s="1"/>
  <c r="F7" i="38"/>
  <c r="D40" i="47" s="1"/>
  <c r="G6" i="38"/>
  <c r="C40" i="47" s="1"/>
  <c r="F6" i="38"/>
  <c r="B40" i="47" s="1"/>
  <c r="E53" i="35" l="1"/>
  <c r="D53" i="35"/>
  <c r="B53" i="35"/>
  <c r="D28" i="47"/>
  <c r="G7" i="35"/>
  <c r="E27" i="47" s="1"/>
  <c r="F7" i="35"/>
  <c r="D27" i="47" s="1"/>
  <c r="G6" i="35"/>
  <c r="C27" i="47" s="1"/>
  <c r="F6" i="35"/>
  <c r="B27" i="47" s="1"/>
  <c r="D55" i="34"/>
  <c r="B55" i="34"/>
  <c r="G7" i="34"/>
  <c r="E34" i="47" s="1"/>
  <c r="F7" i="34"/>
  <c r="D34" i="47" s="1"/>
  <c r="G6" i="34"/>
  <c r="C34" i="47" s="1"/>
  <c r="F6" i="34"/>
  <c r="B34" i="47" s="1"/>
  <c r="G7" i="14"/>
  <c r="E24" i="47" s="1"/>
  <c r="F7" i="14"/>
  <c r="D24" i="47" s="1"/>
  <c r="G6" i="14"/>
  <c r="C24" i="47" s="1"/>
  <c r="F6" i="14"/>
  <c r="B24" i="47" s="1"/>
  <c r="E52" i="33"/>
  <c r="D52" i="33"/>
  <c r="B52" i="33"/>
  <c r="D15" i="47"/>
  <c r="G7" i="33"/>
  <c r="E14" i="47" s="1"/>
  <c r="F7" i="33"/>
  <c r="D14" i="47" s="1"/>
  <c r="G6" i="33"/>
  <c r="C14" i="47" s="1"/>
  <c r="F6" i="33"/>
  <c r="B14" i="47" s="1"/>
  <c r="J34" i="2"/>
  <c r="C5" i="2"/>
  <c r="D5" i="2" s="1"/>
  <c r="C6" i="2"/>
  <c r="D6" i="2" s="1"/>
  <c r="C7" i="2"/>
  <c r="C8" i="2"/>
  <c r="C9" i="2"/>
  <c r="C10" i="2"/>
  <c r="J9" i="56" l="1"/>
  <c r="J11" i="55"/>
  <c r="J11" i="56"/>
  <c r="J9" i="55"/>
  <c r="J9" i="53"/>
  <c r="J11" i="53"/>
  <c r="B57" i="47"/>
  <c r="G32" i="47"/>
  <c r="G25" i="47"/>
  <c r="I18" i="13"/>
  <c r="F14" i="53"/>
  <c r="B14" i="35"/>
  <c r="G28" i="47" s="1"/>
  <c r="B14" i="13"/>
  <c r="B15" i="14"/>
  <c r="J11" i="54"/>
  <c r="B20" i="54" s="1"/>
  <c r="J9" i="54"/>
  <c r="K36" i="2"/>
  <c r="H36" i="2" s="1"/>
  <c r="I34" i="2"/>
  <c r="G34" i="2" s="1"/>
  <c r="D7" i="2"/>
  <c r="D8" i="2"/>
  <c r="K45" i="2"/>
  <c r="H45" i="2" s="1"/>
  <c r="J11" i="48"/>
  <c r="J9" i="48"/>
  <c r="D9" i="2"/>
  <c r="J11" i="38"/>
  <c r="D10" i="2"/>
  <c r="J11" i="40"/>
  <c r="J9" i="40"/>
  <c r="J11" i="39"/>
  <c r="J9" i="39"/>
  <c r="J9" i="38"/>
  <c r="I7" i="2"/>
  <c r="K9" i="2"/>
  <c r="J9" i="33"/>
  <c r="J11" i="33"/>
  <c r="J9" i="14"/>
  <c r="J11" i="14"/>
  <c r="J9" i="34"/>
  <c r="J11" i="34"/>
  <c r="J9" i="35"/>
  <c r="J11" i="35"/>
  <c r="E59" i="27" l="1"/>
  <c r="D59" i="27"/>
  <c r="B59" i="27"/>
  <c r="J11" i="27"/>
  <c r="B13" i="27" s="1"/>
  <c r="B59" i="47" s="1"/>
  <c r="J9" i="27"/>
  <c r="F7" i="27"/>
  <c r="D37" i="47" s="1"/>
  <c r="G6" i="27"/>
  <c r="C37" i="47" s="1"/>
  <c r="F6" i="27"/>
  <c r="B37" i="47" s="1"/>
  <c r="E57" i="24"/>
  <c r="D57" i="24"/>
  <c r="B57" i="24"/>
  <c r="J11" i="24"/>
  <c r="J9" i="24"/>
  <c r="G7" i="24"/>
  <c r="E51" i="47" s="1"/>
  <c r="F7" i="24"/>
  <c r="D51" i="47" s="1"/>
  <c r="G6" i="24"/>
  <c r="C51" i="47" s="1"/>
  <c r="F6" i="24"/>
  <c r="B51" i="47" s="1"/>
  <c r="B14" i="27" l="1"/>
  <c r="B60" i="47" s="1"/>
  <c r="B12" i="27"/>
  <c r="B58" i="47" s="1"/>
  <c r="B11" i="27"/>
  <c r="J7" i="2"/>
  <c r="O7" i="2" s="1"/>
  <c r="L10" i="55" s="1"/>
  <c r="G19" i="55" l="1"/>
  <c r="F19" i="55"/>
  <c r="B8" i="47" s="1"/>
  <c r="E19" i="55"/>
  <c r="D19" i="55"/>
  <c r="G7" i="2"/>
  <c r="E54" i="14"/>
  <c r="D54" i="14"/>
  <c r="B54" i="14"/>
  <c r="E53" i="13" l="1"/>
  <c r="D53" i="13"/>
  <c r="B53" i="13"/>
  <c r="G7" i="13"/>
  <c r="E31" i="47" s="1"/>
  <c r="F7" i="13"/>
  <c r="D31" i="47" s="1"/>
  <c r="F6" i="13"/>
  <c r="B31" i="47" s="1"/>
  <c r="J43" i="2"/>
  <c r="O43" i="2" s="1"/>
  <c r="O34" i="2" l="1"/>
  <c r="O36" i="2"/>
  <c r="L12" i="54" s="1"/>
  <c r="O27" i="2"/>
  <c r="O18" i="2"/>
  <c r="O9" i="2"/>
  <c r="L12" i="53" l="1"/>
  <c r="L12" i="34"/>
  <c r="L12" i="56"/>
  <c r="L12" i="55"/>
  <c r="L12" i="13"/>
  <c r="L12" i="48"/>
  <c r="L10" i="48"/>
  <c r="L12" i="40"/>
  <c r="L12" i="39"/>
  <c r="L12" i="38"/>
  <c r="L13" i="27"/>
  <c r="L12" i="24"/>
  <c r="L12" i="33"/>
  <c r="L12" i="35"/>
  <c r="L12" i="14"/>
  <c r="G19" i="39" l="1"/>
  <c r="E19" i="39"/>
  <c r="D22" i="39"/>
  <c r="G22" i="39"/>
  <c r="F19" i="39"/>
  <c r="E22" i="39"/>
  <c r="D19" i="39"/>
  <c r="F22" i="39"/>
  <c r="D23" i="35"/>
  <c r="E23" i="35"/>
  <c r="E21" i="35"/>
  <c r="D21" i="35"/>
  <c r="F21" i="35"/>
  <c r="F23" i="35"/>
  <c r="D19" i="34"/>
  <c r="E20" i="34"/>
  <c r="D20" i="34"/>
  <c r="F20" i="34"/>
  <c r="E18" i="34"/>
  <c r="D18" i="34"/>
  <c r="F18" i="34"/>
  <c r="D21" i="14"/>
  <c r="E21" i="14"/>
  <c r="D23" i="14"/>
  <c r="F23" i="14"/>
  <c r="E23" i="14"/>
  <c r="F21" i="14"/>
  <c r="D21" i="53"/>
  <c r="D23" i="53"/>
  <c r="F23" i="53"/>
  <c r="E21" i="53"/>
  <c r="E23" i="53"/>
  <c r="F21" i="53"/>
  <c r="F21" i="33"/>
  <c r="D23" i="33"/>
  <c r="F23" i="33"/>
  <c r="E21" i="33"/>
  <c r="D21" i="33"/>
  <c r="E23" i="33"/>
  <c r="D23" i="56"/>
  <c r="F21" i="56"/>
  <c r="E21" i="56"/>
  <c r="E23" i="56"/>
  <c r="D21" i="56"/>
  <c r="F23" i="56"/>
  <c r="D21" i="55"/>
  <c r="E23" i="55"/>
  <c r="E21" i="55"/>
  <c r="F23" i="55"/>
  <c r="D23" i="55"/>
  <c r="G23" i="55"/>
  <c r="G21" i="55"/>
  <c r="F21" i="55"/>
  <c r="F22" i="53"/>
  <c r="D20" i="53"/>
  <c r="D22" i="53"/>
  <c r="F20" i="53"/>
  <c r="E22" i="47" s="1"/>
  <c r="E20" i="53"/>
  <c r="E22" i="53"/>
  <c r="G21" i="39"/>
  <c r="G18" i="39"/>
  <c r="G20" i="39"/>
  <c r="G17" i="39"/>
  <c r="G22" i="55"/>
  <c r="G20" i="55"/>
  <c r="D20" i="55"/>
  <c r="E20" i="55"/>
  <c r="F20" i="55"/>
  <c r="E8" i="47" s="1"/>
  <c r="D22" i="55"/>
  <c r="F22" i="55"/>
  <c r="E22" i="55"/>
  <c r="E22" i="56"/>
  <c r="F22" i="56"/>
  <c r="D20" i="56"/>
  <c r="E20" i="56"/>
  <c r="F20" i="56"/>
  <c r="E11" i="47" s="1"/>
  <c r="D22" i="56"/>
  <c r="F23" i="40"/>
  <c r="E48" i="47" s="1"/>
  <c r="E25" i="40"/>
  <c r="F26" i="40"/>
  <c r="E26" i="40"/>
  <c r="F22" i="40"/>
  <c r="E22" i="40"/>
  <c r="E23" i="40"/>
  <c r="F25" i="40"/>
  <c r="E22" i="33"/>
  <c r="E20" i="33"/>
  <c r="F22" i="33"/>
  <c r="D22" i="33"/>
  <c r="F20" i="33"/>
  <c r="E15" i="47" s="1"/>
  <c r="D20" i="33"/>
  <c r="F18" i="39"/>
  <c r="E18" i="47" s="1"/>
  <c r="F21" i="39"/>
  <c r="E18" i="39"/>
  <c r="E21" i="39"/>
  <c r="F20" i="39"/>
  <c r="D21" i="39"/>
  <c r="D20" i="39"/>
  <c r="F17" i="39"/>
  <c r="E17" i="39"/>
  <c r="G18" i="47" s="1"/>
  <c r="D17" i="39"/>
  <c r="D18" i="39"/>
  <c r="D26" i="40"/>
  <c r="D25" i="40"/>
  <c r="E20" i="39"/>
  <c r="F22" i="14"/>
  <c r="F20" i="14"/>
  <c r="E25" i="47" s="1"/>
  <c r="E22" i="14"/>
  <c r="E20" i="14"/>
  <c r="D22" i="14"/>
  <c r="D20" i="14"/>
  <c r="F20" i="35"/>
  <c r="E28" i="47" s="1"/>
  <c r="E20" i="35"/>
  <c r="F22" i="35"/>
  <c r="D20" i="35"/>
  <c r="E22" i="35"/>
  <c r="D22" i="35"/>
  <c r="F19" i="34"/>
  <c r="F17" i="34"/>
  <c r="E35" i="47" s="1"/>
  <c r="E17" i="34"/>
  <c r="E19" i="34"/>
  <c r="D17" i="34"/>
  <c r="D23" i="40"/>
  <c r="D22" i="40"/>
  <c r="I16" i="2"/>
  <c r="K18" i="2"/>
  <c r="K27" i="2"/>
  <c r="J9" i="13"/>
  <c r="I43" i="2"/>
  <c r="G43" i="2" s="1"/>
  <c r="J11" i="13"/>
  <c r="I25" i="2"/>
  <c r="G21" i="13" l="1"/>
  <c r="G23" i="13"/>
  <c r="F23" i="13"/>
  <c r="D21" i="13"/>
  <c r="F21" i="13"/>
  <c r="E21" i="13"/>
  <c r="E23" i="13"/>
  <c r="D23" i="13"/>
  <c r="G22" i="13"/>
  <c r="G20" i="13"/>
  <c r="F20" i="13"/>
  <c r="E32" i="47" s="1"/>
  <c r="F22" i="13"/>
  <c r="E22" i="13"/>
  <c r="E20" i="13"/>
  <c r="D22" i="13"/>
  <c r="D20" i="13"/>
  <c r="H27" i="2" l="1"/>
  <c r="H18" i="2"/>
  <c r="J25" i="2"/>
  <c r="J16" i="2"/>
  <c r="O16" i="2" s="1"/>
  <c r="L10" i="56" s="1"/>
  <c r="E19" i="56" l="1"/>
  <c r="F19" i="56"/>
  <c r="B11" i="47" s="1"/>
  <c r="D19" i="56"/>
  <c r="L10" i="38"/>
  <c r="L10" i="24"/>
  <c r="G16" i="2"/>
  <c r="G25" i="2"/>
  <c r="O25" i="2"/>
  <c r="H9" i="2"/>
  <c r="L10" i="54" l="1"/>
  <c r="L10" i="53"/>
  <c r="L10" i="33"/>
  <c r="L10" i="35"/>
  <c r="L10" i="14"/>
  <c r="L10" i="34"/>
  <c r="L10" i="39"/>
  <c r="L10" i="27"/>
  <c r="L10" i="40"/>
  <c r="B48" i="47" s="1"/>
  <c r="L10" i="13"/>
  <c r="G16" i="39" l="1"/>
  <c r="F16" i="39"/>
  <c r="E16" i="39"/>
  <c r="D16" i="39"/>
  <c r="D19" i="35"/>
  <c r="F19" i="35"/>
  <c r="B28" i="47" s="1"/>
  <c r="E19" i="35"/>
  <c r="F16" i="34"/>
  <c r="B35" i="47" s="1"/>
  <c r="E16" i="34"/>
  <c r="D16" i="34"/>
  <c r="F19" i="14"/>
  <c r="E19" i="14"/>
  <c r="D19" i="14"/>
  <c r="F19" i="13"/>
  <c r="B32" i="47" s="1"/>
  <c r="G19" i="13"/>
  <c r="D19" i="13"/>
  <c r="E19" i="13"/>
  <c r="D19" i="53"/>
  <c r="E19" i="53"/>
  <c r="F19" i="53"/>
  <c r="B22" i="47" s="1"/>
  <c r="F19" i="33"/>
  <c r="E19" i="33"/>
  <c r="D19" i="33"/>
  <c r="B18" i="47"/>
  <c r="B15" i="47"/>
  <c r="B25" i="47"/>
</calcChain>
</file>

<file path=xl/comments1.xml><?xml version="1.0" encoding="utf-8"?>
<comments xmlns="http://schemas.openxmlformats.org/spreadsheetml/2006/main">
  <authors>
    <author>さすけい</author>
  </authors>
  <commentList>
    <comment ref="H20" authorId="0">
      <text>
        <r>
          <rPr>
            <b/>
            <sz val="9"/>
            <color indexed="81"/>
            <rFont val="ＭＳ Ｐゴシック"/>
            <family val="3"/>
            <charset val="128"/>
          </rPr>
          <t>さすけい:</t>
        </r>
        <r>
          <rPr>
            <sz val="9"/>
            <color indexed="81"/>
            <rFont val="ＭＳ Ｐゴシック"/>
            <family val="3"/>
            <charset val="128"/>
          </rPr>
          <t xml:space="preserve">
挟撃を外してしまうと
戦術的優位が
消えてしまって困る事が
多いからです。</t>
        </r>
      </text>
    </comment>
  </commentList>
</comments>
</file>

<file path=xl/sharedStrings.xml><?xml version="1.0" encoding="utf-8"?>
<sst xmlns="http://schemas.openxmlformats.org/spreadsheetml/2006/main" count="1622" uniqueCount="540">
  <si>
    <t>パワー名</t>
    <rPh sb="3" eb="4">
      <t>メイ</t>
    </rPh>
    <phoneticPr fontId="1"/>
  </si>
  <si>
    <t>基本</t>
    <rPh sb="0" eb="2">
      <t>キホン</t>
    </rPh>
    <phoneticPr fontId="1"/>
  </si>
  <si>
    <t>クリティカル</t>
    <phoneticPr fontId="1"/>
  </si>
  <si>
    <t>ダメージ</t>
    <phoneticPr fontId="1"/>
  </si>
  <si>
    <t>標準アクション</t>
    <rPh sb="0" eb="2">
      <t>ヒョウジュン</t>
    </rPh>
    <phoneticPr fontId="1"/>
  </si>
  <si>
    <t>目標</t>
    <rPh sb="0" eb="2">
      <t>モクヒョウ</t>
    </rPh>
    <phoneticPr fontId="1"/>
  </si>
  <si>
    <t>アクション</t>
    <phoneticPr fontId="1"/>
  </si>
  <si>
    <t>攻撃</t>
    <rPh sb="0" eb="2">
      <t>コウゲキ</t>
    </rPh>
    <phoneticPr fontId="1"/>
  </si>
  <si>
    <t>ヒット</t>
    <phoneticPr fontId="1"/>
  </si>
  <si>
    <t>現在値</t>
    <rPh sb="0" eb="2">
      <t>ゲンザイ</t>
    </rPh>
    <rPh sb="2" eb="3">
      <t>アタイ</t>
    </rPh>
    <phoneticPr fontId="1"/>
  </si>
  <si>
    <t>能力値修正</t>
    <rPh sb="0" eb="3">
      <t>ノウリョクチ</t>
    </rPh>
    <rPh sb="3" eb="5">
      <t>シュウセイ</t>
    </rPh>
    <phoneticPr fontId="1"/>
  </si>
  <si>
    <t>筋力</t>
    <rPh sb="0" eb="2">
      <t>キンリョク</t>
    </rPh>
    <phoneticPr fontId="1"/>
  </si>
  <si>
    <t>耐久力</t>
    <rPh sb="0" eb="3">
      <t>タイキュウリョク</t>
    </rPh>
    <phoneticPr fontId="1"/>
  </si>
  <si>
    <t>敏捷力</t>
    <rPh sb="0" eb="2">
      <t>ビンショウ</t>
    </rPh>
    <rPh sb="2" eb="3">
      <t>リョク</t>
    </rPh>
    <phoneticPr fontId="1"/>
  </si>
  <si>
    <t>知力</t>
    <rPh sb="0" eb="2">
      <t>チリョク</t>
    </rPh>
    <phoneticPr fontId="1"/>
  </si>
  <si>
    <t>判断力</t>
    <rPh sb="0" eb="3">
      <t>ハンダンリョク</t>
    </rPh>
    <phoneticPr fontId="1"/>
  </si>
  <si>
    <t>魅力</t>
    <rPh sb="0" eb="2">
      <t>ミリョク</t>
    </rPh>
    <phoneticPr fontId="1"/>
  </si>
  <si>
    <t>AC</t>
    <phoneticPr fontId="1"/>
  </si>
  <si>
    <t>頑健</t>
    <rPh sb="0" eb="2">
      <t>ガンケン</t>
    </rPh>
    <phoneticPr fontId="1"/>
  </si>
  <si>
    <t>反応</t>
    <rPh sb="0" eb="2">
      <t>ハンノウ</t>
    </rPh>
    <phoneticPr fontId="1"/>
  </si>
  <si>
    <t>意志</t>
    <rPh sb="0" eb="2">
      <t>イシ</t>
    </rPh>
    <phoneticPr fontId="1"/>
  </si>
  <si>
    <t>種別</t>
    <rPh sb="0" eb="2">
      <t>シュベツ</t>
    </rPh>
    <phoneticPr fontId="1"/>
  </si>
  <si>
    <t>命中計</t>
    <rPh sb="0" eb="2">
      <t>メイチュウ</t>
    </rPh>
    <rPh sb="2" eb="3">
      <t>ケイ</t>
    </rPh>
    <phoneticPr fontId="1"/>
  </si>
  <si>
    <t>能力</t>
    <rPh sb="0" eb="2">
      <t>ノウリョク</t>
    </rPh>
    <phoneticPr fontId="1"/>
  </si>
  <si>
    <t>修正</t>
    <rPh sb="0" eb="2">
      <t>シュウセイ</t>
    </rPh>
    <phoneticPr fontId="1"/>
  </si>
  <si>
    <t>Lv1/2</t>
    <phoneticPr fontId="1"/>
  </si>
  <si>
    <t>習熟</t>
    <rPh sb="0" eb="2">
      <t>シュウジュク</t>
    </rPh>
    <phoneticPr fontId="1"/>
  </si>
  <si>
    <t>強化</t>
    <rPh sb="0" eb="2">
      <t>キョウカ</t>
    </rPh>
    <phoneticPr fontId="1"/>
  </si>
  <si>
    <t>他</t>
    <rPh sb="0" eb="1">
      <t>ホカ</t>
    </rPh>
    <phoneticPr fontId="1"/>
  </si>
  <si>
    <t>名前</t>
    <rPh sb="0" eb="2">
      <t>ナマエ</t>
    </rPh>
    <phoneticPr fontId="1"/>
  </si>
  <si>
    <t>クラス</t>
    <phoneticPr fontId="1"/>
  </si>
  <si>
    <t>Lv</t>
    <phoneticPr fontId="1"/>
  </si>
  <si>
    <t>ダメージ</t>
    <phoneticPr fontId="1"/>
  </si>
  <si>
    <t>ボーナス</t>
    <phoneticPr fontId="1"/>
  </si>
  <si>
    <t>対象</t>
    <rPh sb="0" eb="2">
      <t>タイショウ</t>
    </rPh>
    <phoneticPr fontId="1"/>
  </si>
  <si>
    <t>追加効果・範囲など</t>
    <rPh sb="0" eb="2">
      <t>ツイカ</t>
    </rPh>
    <rPh sb="2" eb="4">
      <t>コウカ</t>
    </rPh>
    <rPh sb="5" eb="7">
      <t>ハンイ</t>
    </rPh>
    <phoneticPr fontId="1"/>
  </si>
  <si>
    <t>クリティカル</t>
    <phoneticPr fontId="1"/>
  </si>
  <si>
    <t>近接基礎</t>
    <rPh sb="0" eb="2">
      <t>キンセツ</t>
    </rPh>
    <rPh sb="2" eb="4">
      <t>キソ</t>
    </rPh>
    <phoneticPr fontId="1"/>
  </si>
  <si>
    <t>キーワード</t>
    <phoneticPr fontId="1"/>
  </si>
  <si>
    <t>種類</t>
    <rPh sb="0" eb="2">
      <t>シュルイ</t>
    </rPh>
    <phoneticPr fontId="1"/>
  </si>
  <si>
    <t>無限回</t>
    <rPh sb="0" eb="2">
      <t>ムゲン</t>
    </rPh>
    <rPh sb="2" eb="3">
      <t>カイ</t>
    </rPh>
    <phoneticPr fontId="1"/>
  </si>
  <si>
    <t>命中
ロール</t>
    <rPh sb="0" eb="2">
      <t>メイチュウ</t>
    </rPh>
    <phoneticPr fontId="1"/>
  </si>
  <si>
    <t>射程</t>
    <rPh sb="0" eb="2">
      <t>シャテイ</t>
    </rPh>
    <phoneticPr fontId="1"/>
  </si>
  <si>
    <t>d</t>
    <phoneticPr fontId="1"/>
  </si>
  <si>
    <t>ｄ</t>
    <phoneticPr fontId="1"/>
  </si>
  <si>
    <t>タイプ・出典</t>
    <rPh sb="4" eb="6">
      <t>シュッテン</t>
    </rPh>
    <phoneticPr fontId="1"/>
  </si>
  <si>
    <t>命中ロール＆ダメージ表</t>
    <rPh sb="0" eb="2">
      <t>メイチュウ</t>
    </rPh>
    <rPh sb="10" eb="11">
      <t>ヒョウ</t>
    </rPh>
    <phoneticPr fontId="1"/>
  </si>
  <si>
    <t>パワー詳細</t>
    <rPh sb="3" eb="5">
      <t>ショウサイ</t>
    </rPh>
    <phoneticPr fontId="1"/>
  </si>
  <si>
    <t>解説・使い時・他PCとの連携等</t>
    <rPh sb="0" eb="2">
      <t>カイセツ</t>
    </rPh>
    <rPh sb="3" eb="4">
      <t>ツカ</t>
    </rPh>
    <rPh sb="5" eb="6">
      <t>ドキ</t>
    </rPh>
    <rPh sb="7" eb="8">
      <t>タ</t>
    </rPh>
    <rPh sb="12" eb="14">
      <t>レンケイ</t>
    </rPh>
    <rPh sb="14" eb="15">
      <t>ナド</t>
    </rPh>
    <phoneticPr fontId="1"/>
  </si>
  <si>
    <t>クリティカル時</t>
    <rPh sb="6" eb="7">
      <t>ジ</t>
    </rPh>
    <phoneticPr fontId="1"/>
  </si>
  <si>
    <t>攻撃R対象</t>
    <rPh sb="0" eb="2">
      <t>コウゲキ</t>
    </rPh>
    <rPh sb="3" eb="5">
      <t>タイショウ</t>
    </rPh>
    <phoneticPr fontId="1"/>
  </si>
  <si>
    <t>ダメージ対象</t>
    <rPh sb="4" eb="6">
      <t>タイショウ</t>
    </rPh>
    <phoneticPr fontId="1"/>
  </si>
  <si>
    <t>攻撃Rボーナス</t>
    <rPh sb="0" eb="2">
      <t>コウゲキ</t>
    </rPh>
    <phoneticPr fontId="1"/>
  </si>
  <si>
    <t>ダメージボーナス</t>
    <phoneticPr fontId="1"/>
  </si>
  <si>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1"/>
  </si>
  <si>
    <t>赤字以外の内容は変更しないでください。</t>
    <rPh sb="0" eb="2">
      <t>アカジ</t>
    </rPh>
    <rPh sb="2" eb="4">
      <t>イガイ</t>
    </rPh>
    <rPh sb="5" eb="7">
      <t>ナイヨウ</t>
    </rPh>
    <rPh sb="8" eb="10">
      <t>ヘンコウ</t>
    </rPh>
    <phoneticPr fontId="1"/>
  </si>
  <si>
    <t>遭遇毎</t>
    <rPh sb="0" eb="2">
      <t>ソウグウ</t>
    </rPh>
    <rPh sb="2" eb="3">
      <t>マイ</t>
    </rPh>
    <phoneticPr fontId="1"/>
  </si>
  <si>
    <t>一日毎</t>
    <rPh sb="0" eb="2">
      <t>イチニチ</t>
    </rPh>
    <rPh sb="2" eb="3">
      <t>マイ</t>
    </rPh>
    <phoneticPr fontId="1"/>
  </si>
  <si>
    <t>ミス</t>
    <phoneticPr fontId="1"/>
  </si>
  <si>
    <t>命中Rパワー修正</t>
    <rPh sb="0" eb="2">
      <t>メイチュウ</t>
    </rPh>
    <rPh sb="6" eb="8">
      <t>シュウセイ</t>
    </rPh>
    <phoneticPr fontId="1"/>
  </si>
  <si>
    <t>ダメージパワー修正</t>
    <rPh sb="7" eb="9">
      <t>シュウセイ</t>
    </rPh>
    <phoneticPr fontId="1"/>
  </si>
  <si>
    <t>ダメージ種別</t>
    <rPh sb="4" eb="6">
      <t>シュベツ</t>
    </rPh>
    <phoneticPr fontId="1"/>
  </si>
  <si>
    <t>効果</t>
    <rPh sb="0" eb="2">
      <t>コウカ</t>
    </rPh>
    <phoneticPr fontId="1"/>
  </si>
  <si>
    <t>↓能力値修正</t>
    <rPh sb="1" eb="4">
      <t>ノウリョクチ</t>
    </rPh>
    <rPh sb="4" eb="6">
      <t>シュウセイ</t>
    </rPh>
    <phoneticPr fontId="1"/>
  </si>
  <si>
    <t>Ver.</t>
    <phoneticPr fontId="1"/>
  </si>
  <si>
    <t>ｄ</t>
    <phoneticPr fontId="1"/>
  </si>
  <si>
    <t>パワー</t>
    <phoneticPr fontId="1"/>
  </si>
  <si>
    <t>効果範囲</t>
    <rPh sb="0" eb="2">
      <t>コウカ</t>
    </rPh>
    <rPh sb="2" eb="4">
      <t>ハンイ</t>
    </rPh>
    <phoneticPr fontId="1"/>
  </si>
  <si>
    <t>爆発</t>
    <rPh sb="0" eb="2">
      <t>バクハツ</t>
    </rPh>
    <phoneticPr fontId="1"/>
  </si>
  <si>
    <t>火</t>
    <rPh sb="0" eb="1">
      <t>ヒ</t>
    </rPh>
    <phoneticPr fontId="1"/>
  </si>
  <si>
    <t>近接</t>
    <rPh sb="0" eb="2">
      <t>キンセツ</t>
    </rPh>
    <phoneticPr fontId="1"/>
  </si>
  <si>
    <t>近接範囲</t>
    <rPh sb="0" eb="2">
      <t>キンセツ</t>
    </rPh>
    <rPh sb="2" eb="4">
      <t>ハンイ</t>
    </rPh>
    <phoneticPr fontId="1"/>
  </si>
  <si>
    <t>遠隔</t>
    <rPh sb="0" eb="2">
      <t>エンカク</t>
    </rPh>
    <phoneticPr fontId="1"/>
  </si>
  <si>
    <t>噴射</t>
    <rPh sb="0" eb="2">
      <t>フンシャ</t>
    </rPh>
    <phoneticPr fontId="1"/>
  </si>
  <si>
    <t>接触</t>
    <rPh sb="0" eb="2">
      <t>セッショク</t>
    </rPh>
    <phoneticPr fontId="1"/>
  </si>
  <si>
    <t>光輝</t>
    <rPh sb="0" eb="1">
      <t>コウ</t>
    </rPh>
    <rPh sb="1" eb="2">
      <t>キ</t>
    </rPh>
    <phoneticPr fontId="1"/>
  </si>
  <si>
    <t>酸</t>
    <rPh sb="0" eb="1">
      <t>サン</t>
    </rPh>
    <phoneticPr fontId="1"/>
  </si>
  <si>
    <t>死霊</t>
    <rPh sb="0" eb="2">
      <t>シリョウ</t>
    </rPh>
    <phoneticPr fontId="1"/>
  </si>
  <si>
    <t>精神</t>
    <rPh sb="0" eb="2">
      <t>セイシン</t>
    </rPh>
    <phoneticPr fontId="1"/>
  </si>
  <si>
    <t>電撃</t>
    <rPh sb="0" eb="2">
      <t>デンゲキ</t>
    </rPh>
    <phoneticPr fontId="1"/>
  </si>
  <si>
    <t>毒</t>
    <rPh sb="0" eb="1">
      <t>ドク</t>
    </rPh>
    <phoneticPr fontId="1"/>
  </si>
  <si>
    <t>雷鳴</t>
    <rPh sb="0" eb="2">
      <t>ライメイ</t>
    </rPh>
    <phoneticPr fontId="1"/>
  </si>
  <si>
    <t>力場</t>
    <rPh sb="0" eb="2">
      <t>リキバ</t>
    </rPh>
    <phoneticPr fontId="1"/>
  </si>
  <si>
    <t>冷気</t>
    <rPh sb="0" eb="2">
      <t>レイキ</t>
    </rPh>
    <phoneticPr fontId="1"/>
  </si>
  <si>
    <t>遠隔範囲</t>
    <rPh sb="0" eb="2">
      <t>エンカク</t>
    </rPh>
    <rPh sb="2" eb="4">
      <t>ハンイ</t>
    </rPh>
    <phoneticPr fontId="1"/>
  </si>
  <si>
    <t>特技</t>
    <rPh sb="0" eb="2">
      <t>トクギ</t>
    </rPh>
    <phoneticPr fontId="1"/>
  </si>
  <si>
    <t>クリーチャー1体</t>
    <rPh sb="7" eb="8">
      <t>タイ</t>
    </rPh>
    <phoneticPr fontId="1"/>
  </si>
  <si>
    <t>攻撃方法</t>
    <rPh sb="0" eb="2">
      <t>コウゲキ</t>
    </rPh>
    <rPh sb="2" eb="4">
      <t>ホウホウ</t>
    </rPh>
    <phoneticPr fontId="1"/>
  </si>
  <si>
    <t>ダメージダイス</t>
    <phoneticPr fontId="1"/>
  </si>
  <si>
    <t>マイナー・アクション</t>
    <phoneticPr fontId="1"/>
  </si>
  <si>
    <t>HP</t>
    <phoneticPr fontId="1"/>
  </si>
  <si>
    <t>使用者</t>
    <rPh sb="0" eb="3">
      <t>シヨウシャ</t>
    </rPh>
    <phoneticPr fontId="1"/>
  </si>
  <si>
    <t>.</t>
    <phoneticPr fontId="1"/>
  </si>
  <si>
    <t>AC</t>
  </si>
  <si>
    <t>クリーチャー１体</t>
    <rPh sb="7" eb="8">
      <t>タイ</t>
    </rPh>
    <phoneticPr fontId="1"/>
  </si>
  <si>
    <t>クラス特徴</t>
    <rPh sb="3" eb="5">
      <t>トクチョウ</t>
    </rPh>
    <phoneticPr fontId="1"/>
  </si>
  <si>
    <t>ＡＣ</t>
    <phoneticPr fontId="1"/>
  </si>
  <si>
    <t>Lv</t>
    <phoneticPr fontId="1"/>
  </si>
  <si>
    <t>Lv</t>
    <phoneticPr fontId="1"/>
  </si>
  <si>
    <t>Lv</t>
    <phoneticPr fontId="1"/>
  </si>
  <si>
    <t>名　　　称</t>
    <rPh sb="0" eb="1">
      <t>ナ</t>
    </rPh>
    <rPh sb="4" eb="5">
      <t>ショウ</t>
    </rPh>
    <phoneticPr fontId="1"/>
  </si>
  <si>
    <t>種族ﾊﾟﾜｰ</t>
    <rPh sb="0" eb="2">
      <t>シュゾク</t>
    </rPh>
    <phoneticPr fontId="1"/>
  </si>
  <si>
    <t>移動力</t>
    <rPh sb="0" eb="2">
      <t>イドウ</t>
    </rPh>
    <rPh sb="2" eb="3">
      <t>リョク</t>
    </rPh>
    <phoneticPr fontId="1"/>
  </si>
  <si>
    <t>重傷値</t>
    <rPh sb="0" eb="2">
      <t>ジュウショウ</t>
    </rPh>
    <rPh sb="2" eb="3">
      <t>チ</t>
    </rPh>
    <phoneticPr fontId="1"/>
  </si>
  <si>
    <t>回復力</t>
    <rPh sb="0" eb="3">
      <t>カイフクリョク</t>
    </rPh>
    <phoneticPr fontId="1"/>
  </si>
  <si>
    <t>1ｄ4</t>
    <phoneticPr fontId="1"/>
  </si>
  <si>
    <t>遠隔基礎</t>
    <rPh sb="0" eb="2">
      <t>エンカク</t>
    </rPh>
    <rPh sb="2" eb="4">
      <t>キソ</t>
    </rPh>
    <phoneticPr fontId="1"/>
  </si>
  <si>
    <t>単純</t>
    <rPh sb="0" eb="2">
      <t>タンジュン</t>
    </rPh>
    <phoneticPr fontId="1"/>
  </si>
  <si>
    <t>パワー(判)</t>
  </si>
  <si>
    <t>パワー</t>
    <phoneticPr fontId="1"/>
  </si>
  <si>
    <t>必要条件</t>
    <rPh sb="0" eb="2">
      <t>ヒツヨウ</t>
    </rPh>
    <rPh sb="2" eb="4">
      <t>ジョウケン</t>
    </rPh>
    <phoneticPr fontId="1"/>
  </si>
  <si>
    <t>使用者</t>
    <rPh sb="0" eb="3">
      <t>シヨウシャ</t>
    </rPh>
    <phoneticPr fontId="1"/>
  </si>
  <si>
    <t>使用者または範囲内の味方１人</t>
    <rPh sb="0" eb="3">
      <t>シヨウシャ</t>
    </rPh>
    <rPh sb="6" eb="9">
      <t>ハンイナイ</t>
    </rPh>
    <rPh sb="10" eb="12">
      <t>ミカタ</t>
    </rPh>
    <rPh sb="12" eb="14">
      <t>ヒトリ</t>
    </rPh>
    <phoneticPr fontId="1"/>
  </si>
  <si>
    <t>精霊</t>
    <rPh sb="0" eb="2">
      <t>セイレイ</t>
    </rPh>
    <phoneticPr fontId="1"/>
  </si>
  <si>
    <t>トリガーを発生させた敵</t>
    <rPh sb="5" eb="7">
      <t>ハッセイ</t>
    </rPh>
    <rPh sb="10" eb="11">
      <t>テキ</t>
    </rPh>
    <phoneticPr fontId="1"/>
  </si>
  <si>
    <t>[遭遇毎]</t>
    <rPh sb="1" eb="3">
      <t>ソウグウ</t>
    </rPh>
    <rPh sb="3" eb="4">
      <t>マイ</t>
    </rPh>
    <phoneticPr fontId="1"/>
  </si>
  <si>
    <t>遭遇毎</t>
    <phoneticPr fontId="1"/>
  </si>
  <si>
    <t>即応・割込</t>
    <rPh sb="0" eb="2">
      <t>ソクオウ</t>
    </rPh>
    <rPh sb="3" eb="5">
      <t>ワリコ</t>
    </rPh>
    <phoneticPr fontId="1"/>
  </si>
  <si>
    <t>ハルト</t>
    <phoneticPr fontId="1"/>
  </si>
  <si>
    <t>ローグ(スカウンドレル)</t>
    <phoneticPr fontId="1"/>
  </si>
  <si>
    <t>ヴィシャス・ダガー+4</t>
    <phoneticPr fontId="1"/>
  </si>
  <si>
    <t>５／１０</t>
    <phoneticPr fontId="1"/>
  </si>
  <si>
    <t>リズムブレード･ダガー+1 Lv3</t>
    <phoneticPr fontId="1"/>
  </si>
  <si>
    <t>遠隔基礎(予備)</t>
    <rPh sb="0" eb="2">
      <t>エンカク</t>
    </rPh>
    <phoneticPr fontId="1"/>
  </si>
  <si>
    <t>パワー(敏)</t>
  </si>
  <si>
    <t>パワー(敏)</t>
    <rPh sb="4" eb="5">
      <t>ビン</t>
    </rPh>
    <phoneticPr fontId="1"/>
  </si>
  <si>
    <t>セカンド・チャンス</t>
    <phoneticPr fontId="1"/>
  </si>
  <si>
    <t>ハーフリング／種族パワー／　（ＰＨB46）</t>
    <rPh sb="7" eb="9">
      <t>シュゾク</t>
    </rPh>
    <phoneticPr fontId="1"/>
  </si>
  <si>
    <t>トリガー</t>
    <phoneticPr fontId="1"/>
  </si>
  <si>
    <t>再ロールの出目の方が低かったとしても、敵は再ロールの結果を用いなければならない。</t>
    <rPh sb="0" eb="1">
      <t>サイ</t>
    </rPh>
    <rPh sb="5" eb="7">
      <t>デメ</t>
    </rPh>
    <rPh sb="8" eb="9">
      <t>ホウ</t>
    </rPh>
    <rPh sb="10" eb="11">
      <t>ヒク</t>
    </rPh>
    <rPh sb="19" eb="20">
      <t>テキ</t>
    </rPh>
    <rPh sb="21" eb="22">
      <t>サイ</t>
    </rPh>
    <rPh sb="26" eb="28">
      <t>ケッカ</t>
    </rPh>
    <rPh sb="29" eb="30">
      <t>モチ</t>
    </rPh>
    <phoneticPr fontId="1"/>
  </si>
  <si>
    <t>急所攻撃</t>
    <rPh sb="0" eb="2">
      <t>キュウショ</t>
    </rPh>
    <rPh sb="2" eb="4">
      <t>コウゲキ</t>
    </rPh>
    <phoneticPr fontId="1"/>
  </si>
  <si>
    <t>※：《素早い回避》（武Ⅱ134）</t>
    <rPh sb="3" eb="5">
      <t>スバヤ</t>
    </rPh>
    <rPh sb="6" eb="8">
      <t>カイヒ</t>
    </rPh>
    <rPh sb="10" eb="11">
      <t>ブ</t>
    </rPh>
    <phoneticPr fontId="1"/>
  </si>
  <si>
    <t>　　君が種族パワーのセカンドチャンスを使用して敵に攻撃ロールを再ロールさせた際、その敵は２度目の</t>
    <rPh sb="2" eb="3">
      <t>キミ</t>
    </rPh>
    <rPh sb="4" eb="6">
      <t>シュゾク</t>
    </rPh>
    <rPh sb="19" eb="21">
      <t>シヨウ</t>
    </rPh>
    <rPh sb="23" eb="24">
      <t>テキ</t>
    </rPh>
    <rPh sb="25" eb="27">
      <t>コウゲキ</t>
    </rPh>
    <rPh sb="31" eb="32">
      <t>サイ</t>
    </rPh>
    <rPh sb="38" eb="39">
      <t>サイ</t>
    </rPh>
    <rPh sb="42" eb="43">
      <t>テキ</t>
    </rPh>
    <rPh sb="45" eb="47">
      <t>ドメ</t>
    </rPh>
    <phoneticPr fontId="1"/>
  </si>
  <si>
    <t>　　攻撃ロールに－５のペナルティを受け、かつその攻撃ロールではクリティカル・ヒットを与えることができ</t>
    <rPh sb="2" eb="4">
      <t>コウゲキ</t>
    </rPh>
    <rPh sb="17" eb="18">
      <t>ウ</t>
    </rPh>
    <rPh sb="24" eb="26">
      <t>コウゲキ</t>
    </rPh>
    <rPh sb="42" eb="43">
      <t>アタ</t>
    </rPh>
    <phoneticPr fontId="1"/>
  </si>
  <si>
    <t>　　なくなる。</t>
    <phoneticPr fontId="1"/>
  </si>
  <si>
    <t>　　</t>
    <phoneticPr fontId="1"/>
  </si>
  <si>
    <r>
      <rPr>
        <b/>
        <sz val="11"/>
        <color rgb="FFFF0000"/>
        <rFont val="ＭＳ Ｐゴシック"/>
        <family val="3"/>
        <charset val="128"/>
        <scheme val="minor"/>
      </rPr>
      <t>使用者に対する</t>
    </r>
    <r>
      <rPr>
        <sz val="11"/>
        <color theme="1"/>
        <rFont val="ＭＳ Ｐゴシック"/>
        <family val="2"/>
        <charset val="128"/>
        <scheme val="minor"/>
      </rPr>
      <t>１回の</t>
    </r>
    <r>
      <rPr>
        <b/>
        <sz val="11"/>
        <color rgb="FFFF0000"/>
        <rFont val="ＭＳ Ｐゴシック"/>
        <family val="3"/>
        <charset val="128"/>
        <scheme val="minor"/>
      </rPr>
      <t>攻撃がヒット</t>
    </r>
    <r>
      <rPr>
        <sz val="11"/>
        <color theme="1"/>
        <rFont val="ＭＳ Ｐゴシック"/>
        <family val="2"/>
        <charset val="128"/>
        <scheme val="minor"/>
      </rPr>
      <t>する。</t>
    </r>
    <rPh sb="0" eb="3">
      <t>シヨウシャ</t>
    </rPh>
    <rPh sb="4" eb="5">
      <t>タイ</t>
    </rPh>
    <rPh sb="8" eb="9">
      <t>カイ</t>
    </rPh>
    <rPh sb="10" eb="12">
      <t>コウゲキ</t>
    </rPh>
    <phoneticPr fontId="1"/>
  </si>
  <si>
    <r>
      <t>敵のその攻撃ロールを</t>
    </r>
    <r>
      <rPr>
        <b/>
        <sz val="11"/>
        <color rgb="FFFF0000"/>
        <rFont val="ＭＳ Ｐゴシック"/>
        <family val="3"/>
        <charset val="128"/>
        <scheme val="minor"/>
      </rPr>
      <t>再ロール</t>
    </r>
    <r>
      <rPr>
        <sz val="11"/>
        <color theme="1"/>
        <rFont val="ＭＳ Ｐゴシック"/>
        <family val="2"/>
        <charset val="128"/>
        <scheme val="minor"/>
      </rPr>
      <t>させる。</t>
    </r>
    <rPh sb="0" eb="1">
      <t>テキ</t>
    </rPh>
    <rPh sb="4" eb="6">
      <t>コウゲキ</t>
    </rPh>
    <rPh sb="10" eb="11">
      <t>サイ</t>
    </rPh>
    <phoneticPr fontId="1"/>
  </si>
  <si>
    <t>マジェスティック・ワード</t>
    <phoneticPr fontId="1"/>
  </si>
  <si>
    <t>[遭遇毎](特殊)◆[回復][秘術]</t>
    <rPh sb="1" eb="3">
      <t>ソウグウ</t>
    </rPh>
    <rPh sb="3" eb="4">
      <t>マイ</t>
    </rPh>
    <rPh sb="6" eb="8">
      <t>トクシュ</t>
    </rPh>
    <rPh sb="11" eb="13">
      <t>カイフク</t>
    </rPh>
    <rPh sb="15" eb="17">
      <t>ヒジュツ</t>
    </rPh>
    <phoneticPr fontId="1"/>
  </si>
  <si>
    <t>目標は１回分の回復力を消費し、</t>
    <rPh sb="0" eb="2">
      <t>モクヒョウ</t>
    </rPh>
    <rPh sb="4" eb="6">
      <t>カイブン</t>
    </rPh>
    <rPh sb="7" eb="10">
      <t>カイフクリョク</t>
    </rPh>
    <rPh sb="11" eb="13">
      <t>ショウヒ</t>
    </rPh>
    <phoneticPr fontId="1"/>
  </si>
  <si>
    <t>加えて使用者の【魅】に等しいＨＰを追加で回復する事ができる。</t>
    <rPh sb="0" eb="1">
      <t>クワ</t>
    </rPh>
    <rPh sb="3" eb="6">
      <t>シヨウシャ</t>
    </rPh>
    <rPh sb="8" eb="9">
      <t>ミ</t>
    </rPh>
    <rPh sb="11" eb="12">
      <t>ヒト</t>
    </rPh>
    <rPh sb="17" eb="19">
      <t>ツイカ</t>
    </rPh>
    <rPh sb="20" eb="22">
      <t>カイフク</t>
    </rPh>
    <rPh sb="24" eb="25">
      <t>コト</t>
    </rPh>
    <phoneticPr fontId="1"/>
  </si>
  <si>
    <t>さらに、使用者は目標を１マス横滑りさせる。</t>
    <rPh sb="4" eb="7">
      <t>シヨウシャ</t>
    </rPh>
    <rPh sb="8" eb="10">
      <t>モクヒョウ</t>
    </rPh>
    <rPh sb="14" eb="16">
      <t>ヨコスベ</t>
    </rPh>
    <phoneticPr fontId="1"/>
  </si>
  <si>
    <t>(Lv6：1d6追加、Lv11：2ｄ6、Lv16：3ｄ6、Lv21：4ｄ6、Lv26：5ｄ6</t>
    <rPh sb="8" eb="10">
      <t>ツイカ</t>
    </rPh>
    <phoneticPr fontId="1"/>
  </si>
  <si>
    <t>[遭遇毎]◆[武勇]</t>
    <rPh sb="1" eb="3">
      <t>ソウグウ</t>
    </rPh>
    <phoneticPr fontId="1"/>
  </si>
  <si>
    <t>移動アクション</t>
    <rPh sb="0" eb="2">
      <t>イドウ</t>
    </rPh>
    <phoneticPr fontId="1"/>
  </si>
  <si>
    <t>ローグ／汎用／６　（PHB163）</t>
    <rPh sb="4" eb="6">
      <t>ハンヨウ</t>
    </rPh>
    <phoneticPr fontId="1"/>
  </si>
  <si>
    <r>
      <t>使用者が誰かに</t>
    </r>
    <r>
      <rPr>
        <b/>
        <sz val="11"/>
        <color rgb="FFFF0000"/>
        <rFont val="ＭＳ Ｐゴシック"/>
        <family val="3"/>
        <charset val="128"/>
        <scheme val="minor"/>
      </rPr>
      <t>マーク</t>
    </r>
    <r>
      <rPr>
        <sz val="11"/>
        <rFont val="ＭＳ Ｐゴシック"/>
        <family val="3"/>
        <charset val="128"/>
        <scheme val="minor"/>
      </rPr>
      <t>された状態であるなら、その</t>
    </r>
    <r>
      <rPr>
        <b/>
        <sz val="11"/>
        <color rgb="FFFF0000"/>
        <rFont val="ＭＳ Ｐゴシック"/>
        <family val="3"/>
        <charset val="128"/>
        <scheme val="minor"/>
      </rPr>
      <t>状態は終了</t>
    </r>
    <r>
      <rPr>
        <sz val="11"/>
        <rFont val="ＭＳ Ｐゴシック"/>
        <family val="3"/>
        <charset val="128"/>
        <scheme val="minor"/>
      </rPr>
      <t>する。</t>
    </r>
    <rPh sb="0" eb="2">
      <t>シヨウ</t>
    </rPh>
    <rPh sb="2" eb="3">
      <t>シャ</t>
    </rPh>
    <rPh sb="4" eb="5">
      <t>ダレ</t>
    </rPh>
    <rPh sb="13" eb="15">
      <t>ジョウタイ</t>
    </rPh>
    <rPh sb="23" eb="25">
      <t>ジョウタイ</t>
    </rPh>
    <rPh sb="26" eb="28">
      <t>シュウリョウ</t>
    </rPh>
    <phoneticPr fontId="1"/>
  </si>
  <si>
    <r>
      <t>使用者は自分の</t>
    </r>
    <r>
      <rPr>
        <b/>
        <sz val="11"/>
        <color rgb="FFFF0000"/>
        <rFont val="ＭＳ Ｐゴシック"/>
        <family val="3"/>
        <charset val="128"/>
        <scheme val="minor"/>
      </rPr>
      <t>移動速度に等しいマスのシフト</t>
    </r>
    <r>
      <rPr>
        <sz val="11"/>
        <rFont val="ＭＳ Ｐゴシック"/>
        <family val="2"/>
        <charset val="128"/>
        <scheme val="minor"/>
      </rPr>
      <t>を行える。</t>
    </r>
    <rPh sb="0" eb="2">
      <t>シヨウ</t>
    </rPh>
    <rPh sb="2" eb="3">
      <t>シャ</t>
    </rPh>
    <rPh sb="4" eb="6">
      <t>ジブン</t>
    </rPh>
    <rPh sb="7" eb="9">
      <t>イドウ</t>
    </rPh>
    <rPh sb="9" eb="11">
      <t>ソクド</t>
    </rPh>
    <rPh sb="12" eb="13">
      <t>ヒト</t>
    </rPh>
    <rPh sb="22" eb="23">
      <t>オコナ</t>
    </rPh>
    <phoneticPr fontId="1"/>
  </si>
  <si>
    <t>イグノーブル・エスケイプ</t>
    <phoneticPr fontId="1"/>
  </si>
  <si>
    <t>ローグ／汎用／１０　（武Ⅱ88）</t>
    <rPh sb="4" eb="6">
      <t>ハンヨウ</t>
    </rPh>
    <rPh sb="11" eb="12">
      <t>ブ</t>
    </rPh>
    <phoneticPr fontId="1"/>
  </si>
  <si>
    <r>
      <t>使用者の次T終までに</t>
    </r>
    <r>
      <rPr>
        <b/>
        <sz val="11"/>
        <color rgb="FFFF0000"/>
        <rFont val="ＭＳ Ｐゴシック"/>
        <family val="3"/>
        <charset val="128"/>
        <scheme val="minor"/>
      </rPr>
      <t>使用者に攻撃を行った</t>
    </r>
    <r>
      <rPr>
        <sz val="11"/>
        <color theme="1"/>
        <rFont val="ＭＳ Ｐゴシック"/>
        <family val="2"/>
        <charset val="128"/>
        <scheme val="minor"/>
      </rPr>
      <t>すべての敵は、</t>
    </r>
    <rPh sb="0" eb="2">
      <t>シヨウ</t>
    </rPh>
    <rPh sb="2" eb="3">
      <t>シャ</t>
    </rPh>
    <rPh sb="4" eb="5">
      <t>ジ</t>
    </rPh>
    <rPh sb="6" eb="7">
      <t>シュウ</t>
    </rPh>
    <rPh sb="10" eb="13">
      <t>シヨウシャ</t>
    </rPh>
    <rPh sb="14" eb="16">
      <t>コウゲキ</t>
    </rPh>
    <rPh sb="17" eb="18">
      <t>オコナ</t>
    </rPh>
    <rPh sb="24" eb="25">
      <t>テキ</t>
    </rPh>
    <phoneticPr fontId="1"/>
  </si>
  <si>
    <r>
      <t>この</t>
    </r>
    <r>
      <rPr>
        <b/>
        <sz val="11"/>
        <color rgb="FFFF0000"/>
        <rFont val="ＭＳ Ｐゴシック"/>
        <family val="3"/>
        <charset val="128"/>
        <scheme val="minor"/>
      </rPr>
      <t>遭遇終了時まで</t>
    </r>
    <r>
      <rPr>
        <sz val="11"/>
        <color theme="1"/>
        <rFont val="ＭＳ Ｐゴシック"/>
        <family val="2"/>
        <charset val="128"/>
        <scheme val="minor"/>
      </rPr>
      <t>使用者に</t>
    </r>
    <r>
      <rPr>
        <b/>
        <sz val="11"/>
        <color rgb="FFFF0000"/>
        <rFont val="ＭＳ Ｐゴシック"/>
        <family val="3"/>
        <charset val="128"/>
        <scheme val="minor"/>
      </rPr>
      <t>戦術的優位</t>
    </r>
    <r>
      <rPr>
        <sz val="11"/>
        <color theme="1"/>
        <rFont val="ＭＳ Ｐゴシック"/>
        <family val="2"/>
        <charset val="128"/>
        <scheme val="minor"/>
      </rPr>
      <t>を与える。</t>
    </r>
    <rPh sb="2" eb="4">
      <t>ソウグウ</t>
    </rPh>
    <rPh sb="4" eb="6">
      <t>シュウリョウ</t>
    </rPh>
    <rPh sb="6" eb="7">
      <t>ジ</t>
    </rPh>
    <rPh sb="9" eb="12">
      <t>シヨウシャ</t>
    </rPh>
    <rPh sb="13" eb="16">
      <t>センジュツテキ</t>
    </rPh>
    <rPh sb="16" eb="18">
      <t>ユウイ</t>
    </rPh>
    <rPh sb="19" eb="20">
      <t>アタ</t>
    </rPh>
    <phoneticPr fontId="1"/>
  </si>
  <si>
    <t>※：欺きの達人（PHB160）</t>
    <rPh sb="2" eb="3">
      <t>アザム</t>
    </rPh>
    <rPh sb="5" eb="7">
      <t>タツジン</t>
    </rPh>
    <phoneticPr fontId="1"/>
  </si>
  <si>
    <t>　　君は機会攻撃に対してACに【魅】に等しいボーナスを得る。</t>
    <rPh sb="2" eb="3">
      <t>キミ</t>
    </rPh>
    <rPh sb="4" eb="6">
      <t>キカイ</t>
    </rPh>
    <rPh sb="6" eb="8">
      <t>コウゲキ</t>
    </rPh>
    <rPh sb="9" eb="10">
      <t>タイ</t>
    </rPh>
    <rPh sb="16" eb="17">
      <t>ミ</t>
    </rPh>
    <rPh sb="19" eb="20">
      <t>ヒト</t>
    </rPh>
    <rPh sb="27" eb="28">
      <t>エ</t>
    </rPh>
    <phoneticPr fontId="1"/>
  </si>
  <si>
    <t>※：機敏な対応（PHB46）</t>
    <rPh sb="2" eb="4">
      <t>キビン</t>
    </rPh>
    <rPh sb="5" eb="7">
      <t>タイオウ</t>
    </rPh>
    <phoneticPr fontId="1"/>
  </si>
  <si>
    <t>ダガー・マスター／汎用／１２　（ＰＨＢ171）</t>
    <rPh sb="9" eb="11">
      <t>ハンヨウ</t>
    </rPh>
    <phoneticPr fontId="1"/>
  </si>
  <si>
    <t>[一日毎]◆[武勇]</t>
    <phoneticPr fontId="1"/>
  </si>
  <si>
    <t>マイナー・アクション</t>
    <phoneticPr fontId="1"/>
  </si>
  <si>
    <t>[遭遇毎]◆[武器]、[武勇]</t>
    <rPh sb="1" eb="3">
      <t>ソウグウ</t>
    </rPh>
    <rPh sb="3" eb="4">
      <t>マイ</t>
    </rPh>
    <rPh sb="7" eb="9">
      <t>ブキ</t>
    </rPh>
    <rPh sb="12" eb="14">
      <t>ブユウ</t>
    </rPh>
    <phoneticPr fontId="1"/>
  </si>
  <si>
    <t>使用者がクリティカル・ヒットを与えたクリーチャー</t>
    <rPh sb="0" eb="2">
      <t>シヨウ</t>
    </rPh>
    <rPh sb="2" eb="3">
      <t>シャ</t>
    </rPh>
    <rPh sb="15" eb="16">
      <t>アタ</t>
    </rPh>
    <phoneticPr fontId="1"/>
  </si>
  <si>
    <t>武器</t>
    <rPh sb="0" eb="2">
      <t>ブキ</t>
    </rPh>
    <phoneticPr fontId="1"/>
  </si>
  <si>
    <t>クリティカル・オポチュニティ</t>
    <phoneticPr fontId="1"/>
  </si>
  <si>
    <t>ヒット</t>
    <phoneticPr fontId="1"/>
  </si>
  <si>
    <t>(３[Ｗ]＋【敏捷力】)ダメージ</t>
    <rPh sb="7" eb="9">
      <t>ビンショウ</t>
    </rPh>
    <rPh sb="9" eb="10">
      <t>リョク</t>
    </rPh>
    <phoneticPr fontId="1"/>
  </si>
  <si>
    <t>近接基礎</t>
  </si>
  <si>
    <t>&lt;-1サイズ上</t>
    <rPh sb="6" eb="7">
      <t>ウエ</t>
    </rPh>
    <phoneticPr fontId="1"/>
  </si>
  <si>
    <t>破壊的クリティカル</t>
    <rPh sb="0" eb="3">
      <t>ハカイテキ</t>
    </rPh>
    <phoneticPr fontId="1"/>
  </si>
  <si>
    <t>破壊的クリティカル</t>
    <phoneticPr fontId="1"/>
  </si>
  <si>
    <t>ダガー・マスター／攻撃／１１　（ＰＨＢ171）</t>
    <phoneticPr fontId="1"/>
  </si>
  <si>
    <t>※：ダガー・マスターのアクション（PHB171）</t>
    <phoneticPr fontId="1"/>
  </si>
  <si>
    <t>【敏捷力】対"ＡＣ"</t>
    <rPh sb="1" eb="3">
      <t>ビンショウ</t>
    </rPh>
    <rPh sb="3" eb="4">
      <t>リョク</t>
    </rPh>
    <phoneticPr fontId="1"/>
  </si>
  <si>
    <r>
      <t>ダガーを用いて1回</t>
    </r>
    <r>
      <rPr>
        <b/>
        <sz val="11"/>
        <color rgb="FFFF0000"/>
        <rFont val="ＭＳ Ｐゴシック"/>
        <family val="3"/>
        <charset val="128"/>
        <scheme val="minor"/>
      </rPr>
      <t>のクリティカル・ヒット</t>
    </r>
    <r>
      <rPr>
        <sz val="11"/>
        <color theme="1"/>
        <rFont val="ＭＳ Ｐゴシック"/>
        <family val="2"/>
        <charset val="128"/>
        <scheme val="minor"/>
      </rPr>
      <t>を与えていなければならない。</t>
    </r>
    <rPh sb="4" eb="5">
      <t>モチ</t>
    </rPh>
    <rPh sb="8" eb="9">
      <t>カイ</t>
    </rPh>
    <rPh sb="21" eb="22">
      <t>アタ</t>
    </rPh>
    <phoneticPr fontId="1"/>
  </si>
  <si>
    <r>
      <t>　　君は</t>
    </r>
    <r>
      <rPr>
        <b/>
        <sz val="11"/>
        <color rgb="FFFF0000"/>
        <rFont val="ＭＳ Ｐゴシック"/>
        <family val="3"/>
        <charset val="128"/>
        <scheme val="minor"/>
      </rPr>
      <t>AP</t>
    </r>
    <r>
      <rPr>
        <sz val="11"/>
        <color theme="1"/>
        <rFont val="ＭＳ Ｐゴシック"/>
        <family val="2"/>
        <charset val="128"/>
        <scheme val="minor"/>
      </rPr>
      <t>を消費する事により、</t>
    </r>
    <r>
      <rPr>
        <b/>
        <sz val="11"/>
        <color rgb="FFFF0000"/>
        <rFont val="ＭＳ Ｐゴシック"/>
        <family val="3"/>
        <charset val="128"/>
        <scheme val="minor"/>
      </rPr>
      <t>追加のアクションを得る代わりに</t>
    </r>
    <r>
      <rPr>
        <sz val="11"/>
        <color theme="1"/>
        <rFont val="ＭＳ Ｐゴシック"/>
        <family val="2"/>
        <charset val="128"/>
        <scheme val="minor"/>
      </rPr>
      <t>、ダガーを用いた１回の</t>
    </r>
    <r>
      <rPr>
        <b/>
        <sz val="11"/>
        <color rgb="FFFF0000"/>
        <rFont val="ＭＳ Ｐゴシック"/>
        <family val="3"/>
        <charset val="128"/>
        <scheme val="minor"/>
      </rPr>
      <t>攻撃Rまたは</t>
    </r>
    <rPh sb="2" eb="3">
      <t>キミ</t>
    </rPh>
    <rPh sb="7" eb="9">
      <t>ショウヒ</t>
    </rPh>
    <rPh sb="11" eb="12">
      <t>コト</t>
    </rPh>
    <rPh sb="16" eb="18">
      <t>ツイカ</t>
    </rPh>
    <rPh sb="25" eb="26">
      <t>エ</t>
    </rPh>
    <rPh sb="27" eb="28">
      <t>カ</t>
    </rPh>
    <rPh sb="36" eb="37">
      <t>モチ</t>
    </rPh>
    <rPh sb="40" eb="41">
      <t>カイ</t>
    </rPh>
    <rPh sb="42" eb="44">
      <t>コウゲキ</t>
    </rPh>
    <phoneticPr fontId="1"/>
  </si>
  <si>
    <r>
      <t>　　</t>
    </r>
    <r>
      <rPr>
        <b/>
        <sz val="11"/>
        <color rgb="FFFF0000"/>
        <rFont val="ＭＳ Ｐゴシック"/>
        <family val="3"/>
        <charset val="128"/>
        <scheme val="minor"/>
      </rPr>
      <t>ダメージＲを再ロール</t>
    </r>
    <r>
      <rPr>
        <sz val="11"/>
        <color theme="1"/>
        <rFont val="ＭＳ Ｐゴシック"/>
        <family val="3"/>
        <charset val="128"/>
        <scheme val="minor"/>
      </rPr>
      <t>する事ができる。</t>
    </r>
    <rPh sb="8" eb="9">
      <t>サイ</t>
    </rPh>
    <rPh sb="14" eb="15">
      <t>コト</t>
    </rPh>
    <phoneticPr fontId="1"/>
  </si>
  <si>
    <r>
      <t>　　</t>
    </r>
    <r>
      <rPr>
        <b/>
        <sz val="11"/>
        <color rgb="FFFF0000"/>
        <rFont val="ＭＳ Ｐゴシック"/>
        <family val="3"/>
        <charset val="128"/>
        <scheme val="minor"/>
      </rPr>
      <t>１８～２０の目でクリティカル・ヒット</t>
    </r>
    <r>
      <rPr>
        <sz val="11"/>
        <color theme="1"/>
        <rFont val="ＭＳ Ｐゴシック"/>
        <family val="3"/>
        <charset val="128"/>
        <scheme val="minor"/>
      </rPr>
      <t>になる。</t>
    </r>
    <rPh sb="8" eb="9">
      <t>メ</t>
    </rPh>
    <phoneticPr fontId="1"/>
  </si>
  <si>
    <t>近接or遠隔</t>
    <rPh sb="0" eb="2">
      <t>キンセツ</t>
    </rPh>
    <rPh sb="4" eb="6">
      <t>エンカク</t>
    </rPh>
    <phoneticPr fontId="1"/>
  </si>
  <si>
    <t>バード／攻撃／１　（PHⅡ138）</t>
    <phoneticPr fontId="1"/>
  </si>
  <si>
    <t>武器</t>
    <rPh sb="0" eb="2">
      <t>ブキ</t>
    </rPh>
    <phoneticPr fontId="1"/>
  </si>
  <si>
    <t>ローグ／攻撃／１３　（PHB166）</t>
    <phoneticPr fontId="1"/>
  </si>
  <si>
    <t>【敏捷力】対"ＡＣ"　１体の目標につき１回</t>
    <rPh sb="1" eb="3">
      <t>ビンショウ</t>
    </rPh>
    <rPh sb="3" eb="4">
      <t>リョク</t>
    </rPh>
    <rPh sb="12" eb="13">
      <t>タイ</t>
    </rPh>
    <rPh sb="14" eb="16">
      <t>モクヒョウ</t>
    </rPh>
    <rPh sb="20" eb="21">
      <t>カイ</t>
    </rPh>
    <phoneticPr fontId="1"/>
  </si>
  <si>
    <t>(２「Ｗ］+【敏】修正値)ダメージ</t>
    <rPh sb="7" eb="8">
      <t>トシ</t>
    </rPh>
    <phoneticPr fontId="1"/>
  </si>
  <si>
    <t>使用者は目標を２マス横滑りさせる。</t>
    <rPh sb="0" eb="3">
      <t>シヨウシャ</t>
    </rPh>
    <rPh sb="4" eb="6">
      <t>モクヒョウ</t>
    </rPh>
    <rPh sb="10" eb="12">
      <t>ヨコスベ</t>
    </rPh>
    <phoneticPr fontId="1"/>
  </si>
  <si>
    <t>欺きの達人：使用者は目標を(１＋【魅】】に等しいマスだけ横滑りさせる。</t>
    <rPh sb="0" eb="1">
      <t>アザム</t>
    </rPh>
    <rPh sb="3" eb="5">
      <t>タツジン</t>
    </rPh>
    <rPh sb="6" eb="9">
      <t>シヨウシャ</t>
    </rPh>
    <rPh sb="10" eb="12">
      <t>モクヒョウ</t>
    </rPh>
    <rPh sb="17" eb="18">
      <t>ミ</t>
    </rPh>
    <rPh sb="21" eb="22">
      <t>ヒト</t>
    </rPh>
    <rPh sb="28" eb="30">
      <t>ヨコスベ</t>
    </rPh>
    <phoneticPr fontId="1"/>
  </si>
  <si>
    <t>効果</t>
    <rPh sb="0" eb="2">
      <t>コウカ</t>
    </rPh>
    <phoneticPr fontId="1"/>
  </si>
  <si>
    <t>使用者はこれらの攻撃を行った後に３マス移動する事ができる。</t>
    <rPh sb="0" eb="3">
      <t>シヨウシャ</t>
    </rPh>
    <rPh sb="8" eb="10">
      <t>コウゲキ</t>
    </rPh>
    <rPh sb="11" eb="12">
      <t>オコナ</t>
    </rPh>
    <rPh sb="14" eb="15">
      <t>ノチ</t>
    </rPh>
    <rPh sb="19" eb="21">
      <t>イドウ</t>
    </rPh>
    <rPh sb="23" eb="24">
      <t>コト</t>
    </rPh>
    <phoneticPr fontId="1"/>
  </si>
  <si>
    <t>フロム・ザ・シャドウズ</t>
    <phoneticPr fontId="1"/>
  </si>
  <si>
    <t>ローグ／攻撃／７　（武108）</t>
    <rPh sb="10" eb="11">
      <t>ブ</t>
    </rPh>
    <phoneticPr fontId="1"/>
  </si>
  <si>
    <t>(１[Ｗ]＋【敏捷力】)ダメージ</t>
    <rPh sb="7" eb="9">
      <t>ビンショウ</t>
    </rPh>
    <rPh sb="9" eb="10">
      <t>リョク</t>
    </rPh>
    <phoneticPr fontId="1"/>
  </si>
  <si>
    <t>欺きの達人：この攻撃の前と後にシフトする際、２マスの代わりに（1+【魅】）分シフト</t>
    <rPh sb="0" eb="1">
      <t>アザム</t>
    </rPh>
    <rPh sb="3" eb="5">
      <t>タツジン</t>
    </rPh>
    <rPh sb="8" eb="10">
      <t>コウゲキ</t>
    </rPh>
    <rPh sb="11" eb="12">
      <t>マエ</t>
    </rPh>
    <rPh sb="13" eb="14">
      <t>アト</t>
    </rPh>
    <rPh sb="20" eb="21">
      <t>サイ</t>
    </rPh>
    <rPh sb="26" eb="27">
      <t>カ</t>
    </rPh>
    <rPh sb="34" eb="35">
      <t>ミ</t>
    </rPh>
    <rPh sb="37" eb="38">
      <t>ブン</t>
    </rPh>
    <phoneticPr fontId="1"/>
  </si>
  <si>
    <r>
      <rPr>
        <b/>
        <sz val="11"/>
        <color rgb="FFFF0000"/>
        <rFont val="ＭＳ Ｐゴシック"/>
        <family val="3"/>
        <charset val="128"/>
        <scheme val="minor"/>
      </rPr>
      <t>使用者を見る事ができなかった</t>
    </r>
    <r>
      <rPr>
        <sz val="11"/>
        <color theme="1"/>
        <rFont val="ＭＳ Ｐゴシック"/>
        <family val="2"/>
        <charset val="128"/>
        <scheme val="minor"/>
      </rPr>
      <t>であれば、使用者は</t>
    </r>
    <r>
      <rPr>
        <b/>
        <sz val="11"/>
        <color rgb="FFFF0000"/>
        <rFont val="ＭＳ Ｐゴシック"/>
        <family val="3"/>
        <charset val="128"/>
        <scheme val="minor"/>
      </rPr>
      <t>この攻撃において（戦）</t>
    </r>
    <r>
      <rPr>
        <sz val="11"/>
        <color theme="1"/>
        <rFont val="ＭＳ Ｐゴシック"/>
        <family val="2"/>
        <charset val="128"/>
        <scheme val="minor"/>
      </rPr>
      <t>を得る。</t>
    </r>
    <rPh sb="0" eb="3">
      <t>シヨウシャ</t>
    </rPh>
    <rPh sb="4" eb="5">
      <t>ミ</t>
    </rPh>
    <rPh sb="6" eb="7">
      <t>コト</t>
    </rPh>
    <rPh sb="19" eb="22">
      <t>シヨウシャ</t>
    </rPh>
    <rPh sb="25" eb="27">
      <t>コウゲキ</t>
    </rPh>
    <rPh sb="32" eb="33">
      <t>セン</t>
    </rPh>
    <rPh sb="35" eb="36">
      <t>エ</t>
    </rPh>
    <phoneticPr fontId="1"/>
  </si>
  <si>
    <r>
      <rPr>
        <b/>
        <sz val="11"/>
        <color rgb="FFFF0000"/>
        <rFont val="ＭＳ Ｐゴシック"/>
        <family val="3"/>
        <charset val="128"/>
        <scheme val="minor"/>
      </rPr>
      <t>は視認困難</t>
    </r>
    <r>
      <rPr>
        <sz val="11"/>
        <color theme="1"/>
        <rFont val="ＭＳ Ｐゴシック"/>
        <family val="3"/>
        <charset val="128"/>
        <scheme val="minor"/>
      </rPr>
      <t>を得たなら、使用者は１回の</t>
    </r>
    <r>
      <rPr>
        <b/>
        <sz val="11"/>
        <color rgb="FFFF0000"/>
        <rFont val="ＭＳ Ｐゴシック"/>
        <family val="3"/>
        <charset val="128"/>
        <scheme val="minor"/>
      </rPr>
      <t>ＦＡとして１回の&lt;隠密&gt;判定</t>
    </r>
    <r>
      <rPr>
        <sz val="11"/>
        <color theme="1"/>
        <rFont val="ＭＳ Ｐゴシック"/>
        <family val="3"/>
        <charset val="128"/>
        <scheme val="minor"/>
      </rPr>
      <t>を行うことができる。</t>
    </r>
    <rPh sb="1" eb="3">
      <t>シニン</t>
    </rPh>
    <rPh sb="3" eb="5">
      <t>コンナン</t>
    </rPh>
    <rPh sb="6" eb="7">
      <t>エ</t>
    </rPh>
    <rPh sb="11" eb="14">
      <t>シヨウシャ</t>
    </rPh>
    <rPh sb="16" eb="17">
      <t>カイ</t>
    </rPh>
    <rPh sb="24" eb="25">
      <t>カイ</t>
    </rPh>
    <rPh sb="27" eb="29">
      <t>オンミツ</t>
    </rPh>
    <rPh sb="30" eb="32">
      <t>ハンテイ</t>
    </rPh>
    <rPh sb="33" eb="34">
      <t>オコナ</t>
    </rPh>
    <phoneticPr fontId="1"/>
  </si>
  <si>
    <t>ローグ／攻撃／３　（武106）</t>
    <rPh sb="10" eb="11">
      <t>ブ</t>
    </rPh>
    <phoneticPr fontId="1"/>
  </si>
  <si>
    <t>マイナー・アクション</t>
    <phoneticPr fontId="1"/>
  </si>
  <si>
    <t>使用者が目標を挟撃しているなら、この攻撃は使用者の【筋】ｏｒ【魅】の追加ダメージ。</t>
    <rPh sb="0" eb="3">
      <t>シヨウシャ</t>
    </rPh>
    <rPh sb="4" eb="6">
      <t>モクヒョウ</t>
    </rPh>
    <rPh sb="7" eb="9">
      <t>キョウゲキ</t>
    </rPh>
    <rPh sb="18" eb="20">
      <t>コウゲキ</t>
    </rPh>
    <rPh sb="21" eb="24">
      <t>シヨウシャ</t>
    </rPh>
    <rPh sb="26" eb="27">
      <t>キン</t>
    </rPh>
    <rPh sb="31" eb="32">
      <t>ミ</t>
    </rPh>
    <rPh sb="34" eb="36">
      <t>ツイカ</t>
    </rPh>
    <phoneticPr fontId="1"/>
  </si>
  <si>
    <t>使用者は目標を１マス横滑りさせる。目標は使用者の次Ｔ終まで”減速状態”となる。</t>
    <rPh sb="0" eb="3">
      <t>シヨウシャ</t>
    </rPh>
    <rPh sb="4" eb="6">
      <t>モクヒョウ</t>
    </rPh>
    <rPh sb="10" eb="12">
      <t>ヨコスベ</t>
    </rPh>
    <rPh sb="17" eb="19">
      <t>モクヒョウ</t>
    </rPh>
    <rPh sb="20" eb="23">
      <t>シヨウシャ</t>
    </rPh>
    <rPh sb="24" eb="25">
      <t>ジ</t>
    </rPh>
    <rPh sb="26" eb="27">
      <t>シュウ</t>
    </rPh>
    <rPh sb="30" eb="32">
      <t>ゲンソク</t>
    </rPh>
    <rPh sb="32" eb="34">
      <t>ジョウタイ</t>
    </rPh>
    <phoneticPr fontId="1"/>
  </si>
  <si>
    <t>(１[Ｗ]＋【敏捷力】＋【魅力】)ダメージ</t>
    <rPh sb="13" eb="15">
      <t>ミリョク</t>
    </rPh>
    <phoneticPr fontId="1"/>
  </si>
  <si>
    <t>Ｌｖ２１：(２[Ｗ]＋【敏捷力】＋【魅力】)ダメージ</t>
    <phoneticPr fontId="1"/>
  </si>
  <si>
    <t>Ｌｖ２１：(２[Ｗ]＋【敏捷力】)ダメージ</t>
    <phoneticPr fontId="1"/>
  </si>
  <si>
    <t>特殊</t>
    <rPh sb="0" eb="2">
      <t>トクシュ</t>
    </rPh>
    <phoneticPr fontId="1"/>
  </si>
  <si>
    <t>　　君がダガーを用いてローグまたはダガー・マスターの攻撃パワー使用する場合、そのパワーは</t>
    <phoneticPr fontId="1"/>
  </si>
  <si>
    <t>　　君がダガーを用いてローグまたはダガー・マスターの攻撃パワー使用する場合、そのパワーは</t>
    <phoneticPr fontId="1"/>
  </si>
  <si>
    <t>プロフィット・フロム・ウィークネス</t>
    <phoneticPr fontId="1"/>
  </si>
  <si>
    <t>ローグ／攻撃／１　（ＰＨＢ161）</t>
    <phoneticPr fontId="1"/>
  </si>
  <si>
    <t>[無限回]◆[武器]、[武勇]</t>
    <rPh sb="7" eb="9">
      <t>ブキ</t>
    </rPh>
    <rPh sb="12" eb="14">
      <t>ブユウ</t>
    </rPh>
    <phoneticPr fontId="1"/>
  </si>
  <si>
    <t>[一日毎]◆[武器]、[武勇]</t>
    <rPh sb="7" eb="9">
      <t>ブキ</t>
    </rPh>
    <phoneticPr fontId="1"/>
  </si>
  <si>
    <r>
      <t>使用者がこの攻撃において与えた</t>
    </r>
    <r>
      <rPr>
        <b/>
        <sz val="11"/>
        <color rgb="FFFF0000"/>
        <rFont val="ＭＳ Ｐゴシック"/>
        <family val="3"/>
        <charset val="128"/>
        <scheme val="minor"/>
      </rPr>
      <t>急所攻撃のダメージに等しい継続的ダメージ（ＳＴ終）</t>
    </r>
    <rPh sb="0" eb="3">
      <t>シヨウシャ</t>
    </rPh>
    <rPh sb="6" eb="8">
      <t>コウゲキ</t>
    </rPh>
    <rPh sb="12" eb="13">
      <t>アタ</t>
    </rPh>
    <rPh sb="15" eb="17">
      <t>キュウショ</t>
    </rPh>
    <rPh sb="17" eb="19">
      <t>コウゲキ</t>
    </rPh>
    <rPh sb="25" eb="26">
      <t>ヒト</t>
    </rPh>
    <rPh sb="28" eb="31">
      <t>ケイゾクテキ</t>
    </rPh>
    <rPh sb="38" eb="39">
      <t>シュウ</t>
    </rPh>
    <phoneticPr fontId="1"/>
  </si>
  <si>
    <t>ローグ／攻撃／５　（武Ⅱ85）</t>
    <phoneticPr fontId="1"/>
  </si>
  <si>
    <t>ローグ／攻撃／９　（武Ⅱ88）</t>
    <phoneticPr fontId="1"/>
  </si>
  <si>
    <t>トリガー</t>
    <phoneticPr fontId="1"/>
  </si>
  <si>
    <r>
      <t>トリガーを発生させた敵は使用者の</t>
    </r>
    <r>
      <rPr>
        <b/>
        <sz val="11"/>
        <color rgb="FFFF0000"/>
        <rFont val="ＭＳ Ｐゴシック"/>
        <family val="3"/>
        <charset val="128"/>
        <scheme val="minor"/>
      </rPr>
      <t>次Ｔ終まで戦術的優位</t>
    </r>
    <r>
      <rPr>
        <sz val="11"/>
        <color theme="1"/>
        <rFont val="ＭＳ Ｐゴシック"/>
        <family val="3"/>
        <charset val="128"/>
        <scheme val="minor"/>
      </rPr>
      <t>を与える。</t>
    </r>
    <rPh sb="5" eb="7">
      <t>ハッセイ</t>
    </rPh>
    <rPh sb="10" eb="11">
      <t>テキ</t>
    </rPh>
    <rPh sb="12" eb="15">
      <t>シヨウシャ</t>
    </rPh>
    <rPh sb="16" eb="17">
      <t>ジ</t>
    </rPh>
    <rPh sb="18" eb="19">
      <t>シュウ</t>
    </rPh>
    <rPh sb="21" eb="24">
      <t>センジュツテキ</t>
    </rPh>
    <rPh sb="24" eb="26">
      <t>ユウイ</t>
    </rPh>
    <rPh sb="27" eb="28">
      <t>アタ</t>
    </rPh>
    <phoneticPr fontId="1"/>
  </si>
  <si>
    <r>
      <t>使用者に</t>
    </r>
    <r>
      <rPr>
        <b/>
        <sz val="11"/>
        <color rgb="FFFF0000"/>
        <rFont val="ＭＳ Ｐゴシック"/>
        <family val="3"/>
        <charset val="128"/>
        <scheme val="minor"/>
      </rPr>
      <t>隣接している敵</t>
    </r>
    <r>
      <rPr>
        <sz val="11"/>
        <color theme="1"/>
        <rFont val="ＭＳ Ｐゴシック"/>
        <family val="2"/>
        <charset val="128"/>
        <scheme val="minor"/>
      </rPr>
      <t>１体が使用者に</t>
    </r>
    <r>
      <rPr>
        <b/>
        <sz val="11"/>
        <color rgb="FFFF0000"/>
        <rFont val="ＭＳ Ｐゴシック"/>
        <family val="3"/>
        <charset val="128"/>
        <scheme val="minor"/>
      </rPr>
      <t>近接攻撃をヒット</t>
    </r>
    <r>
      <rPr>
        <sz val="11"/>
        <color theme="1"/>
        <rFont val="ＭＳ Ｐゴシック"/>
        <family val="2"/>
        <charset val="128"/>
        <scheme val="minor"/>
      </rPr>
      <t>させる。</t>
    </r>
    <rPh sb="0" eb="3">
      <t>シヨウシャ</t>
    </rPh>
    <rPh sb="4" eb="6">
      <t>リンセツ</t>
    </rPh>
    <rPh sb="10" eb="11">
      <t>テキ</t>
    </rPh>
    <rPh sb="12" eb="13">
      <t>タイ</t>
    </rPh>
    <rPh sb="14" eb="17">
      <t>シヨウシャ</t>
    </rPh>
    <rPh sb="18" eb="20">
      <t>キンセツ</t>
    </rPh>
    <rPh sb="20" eb="22">
      <t>コウゲキ</t>
    </rPh>
    <phoneticPr fontId="1"/>
  </si>
  <si>
    <r>
      <t>目標は</t>
    </r>
    <r>
      <rPr>
        <b/>
        <sz val="11"/>
        <color rgb="FFFF0000"/>
        <rFont val="ＭＳ Ｐゴシック"/>
        <family val="3"/>
        <charset val="128"/>
        <scheme val="minor"/>
      </rPr>
      <t>伏せ</t>
    </r>
    <r>
      <rPr>
        <sz val="11"/>
        <rFont val="ＭＳ Ｐゴシック"/>
        <family val="3"/>
        <charset val="128"/>
        <scheme val="minor"/>
      </rPr>
      <t>状態になる。</t>
    </r>
    <rPh sb="0" eb="2">
      <t>モクヒョウ</t>
    </rPh>
    <rPh sb="3" eb="4">
      <t>フ</t>
    </rPh>
    <rPh sb="5" eb="7">
      <t>ジョウタイ</t>
    </rPh>
    <phoneticPr fontId="1"/>
  </si>
  <si>
    <r>
      <rPr>
        <b/>
        <sz val="11"/>
        <color rgb="FFFF0000"/>
        <rFont val="ＭＳ Ｐゴシック"/>
        <family val="3"/>
        <charset val="128"/>
        <scheme val="minor"/>
      </rPr>
      <t>半減</t>
    </r>
    <r>
      <rPr>
        <sz val="11"/>
        <rFont val="ＭＳ Ｐゴシック"/>
        <family val="3"/>
        <charset val="128"/>
        <scheme val="minor"/>
      </rPr>
      <t>ダメージ　</t>
    </r>
    <rPh sb="0" eb="2">
      <t>ハンゲン</t>
    </rPh>
    <phoneticPr fontId="1"/>
  </si>
  <si>
    <t>(２[Ｗ]＋【敏捷力】)ダメージ</t>
    <rPh sb="7" eb="9">
      <t>ビンショウ</t>
    </rPh>
    <rPh sb="9" eb="10">
      <t>リョク</t>
    </rPh>
    <phoneticPr fontId="1"/>
  </si>
  <si>
    <t>近接基礎(予備)</t>
    <rPh sb="0" eb="2">
      <t>キンセツ</t>
    </rPh>
    <phoneticPr fontId="1"/>
  </si>
  <si>
    <t>近接基礎攻撃</t>
    <rPh sb="0" eb="2">
      <t>キンセツ</t>
    </rPh>
    <rPh sb="2" eb="4">
      <t>キソ</t>
    </rPh>
    <rPh sb="4" eb="6">
      <t>コウゲキ</t>
    </rPh>
    <phoneticPr fontId="1"/>
  </si>
  <si>
    <t>　　において、選択した能力値を【筋】の代わりに用いる事ができる。さらに君はその攻撃のダメージRに</t>
    <rPh sb="7" eb="9">
      <t>センタク</t>
    </rPh>
    <rPh sb="11" eb="13">
      <t>ノウリョク</t>
    </rPh>
    <rPh sb="13" eb="14">
      <t>チ</t>
    </rPh>
    <rPh sb="16" eb="17">
      <t>キン</t>
    </rPh>
    <rPh sb="19" eb="20">
      <t>カ</t>
    </rPh>
    <rPh sb="23" eb="24">
      <t>モチ</t>
    </rPh>
    <rPh sb="26" eb="27">
      <t>コト</t>
    </rPh>
    <rPh sb="35" eb="36">
      <t>キミ</t>
    </rPh>
    <rPh sb="39" eb="41">
      <t>コウゲキ</t>
    </rPh>
    <phoneticPr fontId="1"/>
  </si>
  <si>
    <t>　　おいて、選択した能力値の修正値の半分を【筋】の代わりに用いる事ができる。</t>
    <rPh sb="6" eb="8">
      <t>センタク</t>
    </rPh>
    <rPh sb="10" eb="12">
      <t>ノウリョク</t>
    </rPh>
    <rPh sb="12" eb="13">
      <t>チ</t>
    </rPh>
    <rPh sb="14" eb="16">
      <t>シュウセイ</t>
    </rPh>
    <rPh sb="16" eb="17">
      <t>チ</t>
    </rPh>
    <rPh sb="18" eb="20">
      <t>ハンブン</t>
    </rPh>
    <rPh sb="22" eb="23">
      <t>キン</t>
    </rPh>
    <rPh sb="25" eb="26">
      <t>カ</t>
    </rPh>
    <rPh sb="29" eb="30">
      <t>モチ</t>
    </rPh>
    <rPh sb="32" eb="33">
      <t>コト</t>
    </rPh>
    <phoneticPr fontId="1"/>
  </si>
  <si>
    <t>※：《近接戦訓練》（HoFL251）</t>
    <rPh sb="3" eb="5">
      <t>キンセツ</t>
    </rPh>
    <rPh sb="5" eb="6">
      <t>セン</t>
    </rPh>
    <rPh sb="6" eb="8">
      <t>クンレン</t>
    </rPh>
    <phoneticPr fontId="1"/>
  </si>
  <si>
    <t>※：《熟練の軽刀剣》（武Ⅱ140）</t>
    <rPh sb="3" eb="5">
      <t>ジュクレン</t>
    </rPh>
    <rPh sb="6" eb="7">
      <t>ケイ</t>
    </rPh>
    <rPh sb="7" eb="9">
      <t>トウケン</t>
    </rPh>
    <rPh sb="11" eb="12">
      <t>ブ</t>
    </rPh>
    <phoneticPr fontId="1"/>
  </si>
  <si>
    <t>　　可能となる。</t>
    <rPh sb="2" eb="4">
      <t>カノウ</t>
    </rPh>
    <phoneticPr fontId="1"/>
  </si>
  <si>
    <r>
      <t>　　君は軽刀剣を用いて基礎攻撃を行う時、</t>
    </r>
    <r>
      <rPr>
        <b/>
        <sz val="11"/>
        <color rgb="FFFF0000"/>
        <rFont val="ＭＳ Ｐゴシック"/>
        <family val="3"/>
        <charset val="128"/>
        <scheme val="minor"/>
      </rPr>
      <t>ACあるいは反応防御値いずれかを選んで</t>
    </r>
    <r>
      <rPr>
        <sz val="11"/>
        <color theme="1"/>
        <rFont val="ＭＳ Ｐゴシック"/>
        <family val="2"/>
        <charset val="128"/>
        <scheme val="minor"/>
      </rPr>
      <t>攻撃を行うことが</t>
    </r>
    <rPh sb="2" eb="3">
      <t>キミ</t>
    </rPh>
    <rPh sb="4" eb="5">
      <t>ケイ</t>
    </rPh>
    <rPh sb="5" eb="7">
      <t>トウケン</t>
    </rPh>
    <rPh sb="8" eb="9">
      <t>モチ</t>
    </rPh>
    <rPh sb="11" eb="13">
      <t>キソ</t>
    </rPh>
    <rPh sb="13" eb="15">
      <t>コウゲキ</t>
    </rPh>
    <rPh sb="16" eb="17">
      <t>オコナ</t>
    </rPh>
    <rPh sb="18" eb="19">
      <t>トキ</t>
    </rPh>
    <rPh sb="26" eb="28">
      <t>ハンノウ</t>
    </rPh>
    <rPh sb="28" eb="30">
      <t>ボウギョ</t>
    </rPh>
    <rPh sb="30" eb="31">
      <t>チ</t>
    </rPh>
    <rPh sb="36" eb="37">
      <t>エラ</t>
    </rPh>
    <rPh sb="39" eb="41">
      <t>コウゲキ</t>
    </rPh>
    <rPh sb="42" eb="43">
      <t>オコナ</t>
    </rPh>
    <phoneticPr fontId="1"/>
  </si>
  <si>
    <t>　　【筋】以外の能力を１つ選択する事。君は自分が習熟している武器を用いた近接基礎攻撃の攻撃R</t>
    <rPh sb="3" eb="4">
      <t>キン</t>
    </rPh>
    <rPh sb="5" eb="7">
      <t>イガイ</t>
    </rPh>
    <rPh sb="8" eb="10">
      <t>ノウリョク</t>
    </rPh>
    <rPh sb="13" eb="15">
      <t>センタク</t>
    </rPh>
    <rPh sb="17" eb="18">
      <t>コト</t>
    </rPh>
    <rPh sb="19" eb="20">
      <t>キミ</t>
    </rPh>
    <rPh sb="21" eb="23">
      <t>ジブン</t>
    </rPh>
    <rPh sb="24" eb="26">
      <t>シュウジュク</t>
    </rPh>
    <rPh sb="30" eb="32">
      <t>ブキ</t>
    </rPh>
    <rPh sb="33" eb="34">
      <t>モチ</t>
    </rPh>
    <rPh sb="36" eb="38">
      <t>キンセツ</t>
    </rPh>
    <rPh sb="38" eb="40">
      <t>キソ</t>
    </rPh>
    <rPh sb="40" eb="42">
      <t>コウゲキ</t>
    </rPh>
    <rPh sb="43" eb="45">
      <t>コウゲキ</t>
    </rPh>
    <phoneticPr fontId="1"/>
  </si>
  <si>
    <t>AC/反応</t>
    <rPh sb="3" eb="5">
      <t>ハンノウ</t>
    </rPh>
    <phoneticPr fontId="1"/>
  </si>
  <si>
    <t>遠隔基礎攻撃</t>
    <rPh sb="0" eb="2">
      <t>エンカク</t>
    </rPh>
    <rPh sb="2" eb="4">
      <t>キソ</t>
    </rPh>
    <rPh sb="4" eb="6">
      <t>コウゲキ</t>
    </rPh>
    <phoneticPr fontId="1"/>
  </si>
  <si>
    <t>(１[Ｗ]＋【敏捷力】/2)ダメージ</t>
    <rPh sb="7" eb="9">
      <t>ビンショウ</t>
    </rPh>
    <rPh sb="9" eb="10">
      <t>リョク</t>
    </rPh>
    <phoneticPr fontId="1"/>
  </si>
  <si>
    <t>Ｌｖ２１：(２[Ｗ]＋【敏捷力】/2)ダメージ</t>
    <phoneticPr fontId="1"/>
  </si>
  <si>
    <t>　　遠隔基礎の攻撃ロールに+1アイテムボーナスを得る。</t>
    <phoneticPr fontId="1"/>
  </si>
  <si>
    <t>あって損はしないだろうけど、もう使わないんじゃね？</t>
    <rPh sb="3" eb="4">
      <t>ソン</t>
    </rPh>
    <rPh sb="16" eb="17">
      <t>ツカ</t>
    </rPh>
    <phoneticPr fontId="1"/>
  </si>
  <si>
    <t>汎用だからいいんだろうけど、滅多使わんよな…。</t>
    <rPh sb="0" eb="2">
      <t>ハンヨウ</t>
    </rPh>
    <rPh sb="14" eb="16">
      <t>メッタ</t>
    </rPh>
    <rPh sb="16" eb="17">
      <t>ツカ</t>
    </rPh>
    <phoneticPr fontId="1"/>
  </si>
  <si>
    <t>この遭遇の終了時まで、使用者のダガーのダメージ・ダイスは1サイズ分大きくなる。</t>
    <rPh sb="2" eb="4">
      <t>ソウグウ</t>
    </rPh>
    <rPh sb="5" eb="8">
      <t>シュウリョウジ</t>
    </rPh>
    <rPh sb="11" eb="14">
      <t>シヨウシャ</t>
    </rPh>
    <rPh sb="32" eb="33">
      <t>ブン</t>
    </rPh>
    <rPh sb="33" eb="34">
      <t>オオ</t>
    </rPh>
    <phoneticPr fontId="1"/>
  </si>
  <si>
    <t>※：イーグル・アイ・ゴーグルズ　Lv2（宝140）</t>
    <rPh sb="20" eb="21">
      <t>タカラ</t>
    </rPh>
    <phoneticPr fontId="1"/>
  </si>
  <si>
    <t>イマイチ、横滑りさせてた記憶ないんだよなぁ…。</t>
  </si>
  <si>
    <t xml:space="preserve"> 　　　　　　　　目標の５マス以内にイリューシアがいる：回復力値＋１</t>
    <rPh sb="9" eb="11">
      <t>モクヒョウ</t>
    </rPh>
    <rPh sb="28" eb="31">
      <t>カイフクリョク</t>
    </rPh>
    <rPh sb="31" eb="32">
      <t>チ</t>
    </rPh>
    <phoneticPr fontId="1"/>
  </si>
  <si>
    <t>※：デーモン・スキン・タトゥー（宝88）</t>
    <rPh sb="16" eb="17">
      <t>タカラ</t>
    </rPh>
    <phoneticPr fontId="1"/>
  </si>
  <si>
    <r>
      <t>　　使用者が追加のアクションを得るために、</t>
    </r>
    <r>
      <rPr>
        <b/>
        <sz val="11"/>
        <color rgb="FFFF0000"/>
        <rFont val="ＭＳ Ｐゴシック"/>
        <family val="3"/>
        <charset val="128"/>
        <scheme val="minor"/>
      </rPr>
      <t>APを消費した際、[酸][電撃][火][雷鳴][冷気]から１つを選択</t>
    </r>
    <rPh sb="2" eb="5">
      <t>シヨウシャ</t>
    </rPh>
    <rPh sb="6" eb="8">
      <t>ツイカ</t>
    </rPh>
    <rPh sb="15" eb="16">
      <t>エ</t>
    </rPh>
    <rPh sb="24" eb="26">
      <t>ショウヒ</t>
    </rPh>
    <rPh sb="28" eb="29">
      <t>サイ</t>
    </rPh>
    <rPh sb="31" eb="32">
      <t>サン</t>
    </rPh>
    <rPh sb="34" eb="36">
      <t>デンゲキ</t>
    </rPh>
    <rPh sb="38" eb="39">
      <t>ヒ</t>
    </rPh>
    <rPh sb="41" eb="43">
      <t>ライメイ</t>
    </rPh>
    <rPh sb="45" eb="47">
      <t>レイキ</t>
    </rPh>
    <rPh sb="53" eb="55">
      <t>センタク</t>
    </rPh>
    <phoneticPr fontId="1"/>
  </si>
  <si>
    <r>
      <t>　　すること。使用者はこの</t>
    </r>
    <r>
      <rPr>
        <b/>
        <sz val="11"/>
        <color rgb="FFFF0000"/>
        <rFont val="ＭＳ Ｐゴシック"/>
        <family val="3"/>
        <charset val="128"/>
        <scheme val="minor"/>
      </rPr>
      <t>遭遇終了まで</t>
    </r>
    <r>
      <rPr>
        <sz val="11"/>
        <color theme="1"/>
        <rFont val="ＭＳ Ｐゴシック"/>
        <family val="2"/>
        <charset val="128"/>
        <scheme val="minor"/>
      </rPr>
      <t>選択した種別に対する</t>
    </r>
    <r>
      <rPr>
        <b/>
        <sz val="11"/>
        <color rgb="FFFF0000"/>
        <rFont val="ＭＳ Ｐゴシック"/>
        <family val="3"/>
        <charset val="128"/>
        <scheme val="minor"/>
      </rPr>
      <t>抵抗５</t>
    </r>
    <r>
      <rPr>
        <sz val="11"/>
        <color theme="1"/>
        <rFont val="ＭＳ Ｐゴシック"/>
        <family val="2"/>
        <charset val="128"/>
        <scheme val="minor"/>
      </rPr>
      <t>を得る。</t>
    </r>
    <rPh sb="7" eb="10">
      <t>シヨウシャ</t>
    </rPh>
    <rPh sb="13" eb="15">
      <t>ソウグウ</t>
    </rPh>
    <rPh sb="15" eb="17">
      <t>シュウリョウ</t>
    </rPh>
    <rPh sb="19" eb="21">
      <t>センタク</t>
    </rPh>
    <rPh sb="23" eb="25">
      <t>シュベツ</t>
    </rPh>
    <rPh sb="26" eb="27">
      <t>タイ</t>
    </rPh>
    <rPh sb="29" eb="31">
      <t>テイコウ</t>
    </rPh>
    <rPh sb="33" eb="34">
      <t>エ</t>
    </rPh>
    <phoneticPr fontId="1"/>
  </si>
  <si>
    <t>遠隔基礎</t>
  </si>
  <si>
    <t>急所攻撃無し</t>
  </si>
  <si>
    <t>急所攻撃無し</t>
    <rPh sb="0" eb="2">
      <t>キュウショ</t>
    </rPh>
    <rPh sb="2" eb="4">
      <t>コウゲキ</t>
    </rPh>
    <rPh sb="4" eb="5">
      <t>ナ</t>
    </rPh>
    <phoneticPr fontId="1"/>
  </si>
  <si>
    <t>急所攻撃アリ</t>
    <phoneticPr fontId="40"/>
  </si>
  <si>
    <t>突撃＋急所攻撃アリ</t>
    <rPh sb="0" eb="2">
      <t>トツゲキ</t>
    </rPh>
    <phoneticPr fontId="40"/>
  </si>
  <si>
    <t>戦術的優位アリ</t>
    <rPh sb="0" eb="3">
      <t>センジュツテキ</t>
    </rPh>
    <rPh sb="3" eb="5">
      <t>ユウイ</t>
    </rPh>
    <phoneticPr fontId="1"/>
  </si>
  <si>
    <t>戦術的優位無し</t>
    <rPh sb="0" eb="3">
      <t>センジュツテキ</t>
    </rPh>
    <rPh sb="3" eb="5">
      <t>ユウイ</t>
    </rPh>
    <rPh sb="5" eb="6">
      <t>ナ</t>
    </rPh>
    <phoneticPr fontId="1"/>
  </si>
  <si>
    <t>※：ダガー・マスターのアクション（PHB１８1）</t>
  </si>
  <si>
    <t>使用者は攻撃の前に3マス移動できる。この移動中の機会攻撃に対して全ての防御値＋【魅】。</t>
    <rPh sb="0" eb="3">
      <t>シヨウシャ</t>
    </rPh>
    <rPh sb="4" eb="6">
      <t>コウゲキ</t>
    </rPh>
    <rPh sb="7" eb="8">
      <t>マエ</t>
    </rPh>
    <rPh sb="12" eb="14">
      <t>イドウ</t>
    </rPh>
    <rPh sb="20" eb="23">
      <t>イドウチュウ</t>
    </rPh>
    <rPh sb="24" eb="26">
      <t>キカイ</t>
    </rPh>
    <rPh sb="26" eb="28">
      <t>コウゲキ</t>
    </rPh>
    <rPh sb="29" eb="30">
      <t>タイ</t>
    </rPh>
    <rPh sb="32" eb="33">
      <t>スベ</t>
    </rPh>
    <rPh sb="35" eb="37">
      <t>ボウギョ</t>
    </rPh>
    <rPh sb="37" eb="38">
      <t>チ</t>
    </rPh>
    <phoneticPr fontId="1"/>
  </si>
  <si>
    <r>
      <t>攻撃前に</t>
    </r>
    <r>
      <rPr>
        <b/>
        <sz val="12"/>
        <color rgb="FFFF0000"/>
        <rFont val="HGP創英角ﾎﾟｯﾌﾟ体"/>
        <family val="3"/>
        <charset val="128"/>
      </rPr>
      <t>３マス</t>
    </r>
    <r>
      <rPr>
        <b/>
        <sz val="12"/>
        <color theme="1"/>
        <rFont val="ＭＳ Ｐゴシック"/>
        <family val="3"/>
        <charset val="128"/>
        <scheme val="minor"/>
      </rPr>
      <t>まで移動可能！</t>
    </r>
    <rPh sb="0" eb="2">
      <t>コウゲキ</t>
    </rPh>
    <rPh sb="2" eb="3">
      <t>マエ</t>
    </rPh>
    <rPh sb="9" eb="11">
      <t>イドウ</t>
    </rPh>
    <rPh sb="11" eb="13">
      <t>カノウ</t>
    </rPh>
    <phoneticPr fontId="1"/>
  </si>
  <si>
    <r>
      <t>【敏捷力】対"</t>
    </r>
    <r>
      <rPr>
        <b/>
        <sz val="11"/>
        <color rgb="FFFF0000"/>
        <rFont val="ＭＳ Ｐゴシック"/>
        <family val="3"/>
        <charset val="128"/>
        <scheme val="minor"/>
      </rPr>
      <t>反応</t>
    </r>
    <r>
      <rPr>
        <sz val="11"/>
        <color theme="1"/>
        <rFont val="ＭＳ Ｐゴシック"/>
        <family val="2"/>
        <charset val="128"/>
        <scheme val="minor"/>
      </rPr>
      <t>"</t>
    </r>
    <rPh sb="1" eb="3">
      <t>ビンショウ</t>
    </rPh>
    <rPh sb="3" eb="4">
      <t>リョク</t>
    </rPh>
    <rPh sb="7" eb="9">
      <t>ハンノウ</t>
    </rPh>
    <phoneticPr fontId="1"/>
  </si>
  <si>
    <r>
      <t>【敏捷力】対"</t>
    </r>
    <r>
      <rPr>
        <b/>
        <sz val="11"/>
        <color rgb="FFFF0000"/>
        <rFont val="ＭＳ Ｐゴシック"/>
        <family val="3"/>
        <charset val="128"/>
        <scheme val="minor"/>
      </rPr>
      <t>頑健</t>
    </r>
    <r>
      <rPr>
        <sz val="11"/>
        <color theme="1"/>
        <rFont val="ＭＳ Ｐゴシック"/>
        <family val="2"/>
        <charset val="128"/>
        <scheme val="minor"/>
      </rPr>
      <t>"</t>
    </r>
    <rPh sb="1" eb="3">
      <t>ビンショウ</t>
    </rPh>
    <rPh sb="3" eb="4">
      <t>リョク</t>
    </rPh>
    <rPh sb="7" eb="9">
      <t>ガンケン</t>
    </rPh>
    <phoneticPr fontId="1"/>
  </si>
  <si>
    <t>勝手に通称</t>
    <rPh sb="0" eb="2">
      <t>カッテ</t>
    </rPh>
    <rPh sb="3" eb="5">
      <t>ツウショウ</t>
    </rPh>
    <phoneticPr fontId="1"/>
  </si>
  <si>
    <t>クリリン</t>
    <phoneticPr fontId="1"/>
  </si>
  <si>
    <r>
      <t>クリーチャー１体または</t>
    </r>
    <r>
      <rPr>
        <b/>
        <sz val="11"/>
        <color rgb="FFFF0000"/>
        <rFont val="ＭＳ Ｐゴシック"/>
        <family val="3"/>
        <charset val="128"/>
        <scheme val="minor"/>
      </rPr>
      <t>２体</t>
    </r>
    <rPh sb="7" eb="8">
      <t>タイ</t>
    </rPh>
    <rPh sb="12" eb="13">
      <t>タイ</t>
    </rPh>
    <phoneticPr fontId="1"/>
  </si>
  <si>
    <r>
      <rPr>
        <b/>
        <sz val="11"/>
        <color rgb="FFFF0000"/>
        <rFont val="ＭＳ Ｐゴシック"/>
        <family val="3"/>
        <charset val="128"/>
        <scheme val="minor"/>
      </rPr>
      <t>ラスゴ</t>
    </r>
    <r>
      <rPr>
        <b/>
        <sz val="11"/>
        <color theme="0"/>
        <rFont val="ＭＳ Ｐゴシック"/>
        <family val="3"/>
        <charset val="128"/>
        <scheme val="minor"/>
      </rPr>
      <t>＋急所攻撃アリ</t>
    </r>
    <phoneticPr fontId="40"/>
  </si>
  <si>
    <r>
      <rPr>
        <b/>
        <sz val="14"/>
        <color rgb="FFFF0000"/>
        <rFont val="HGP創英角ﾎﾟｯﾌﾟ体"/>
        <family val="3"/>
        <charset val="128"/>
      </rPr>
      <t>警告！</t>
    </r>
    <r>
      <rPr>
        <b/>
        <sz val="14"/>
        <color rgb="FF00B0F0"/>
        <rFont val="ＭＳ Ｐゴシック"/>
        <family val="3"/>
        <charset val="128"/>
        <scheme val="minor"/>
      </rPr>
      <t>　特技の防御ボーナスは移動中のみ。　</t>
    </r>
    <r>
      <rPr>
        <b/>
        <sz val="20"/>
        <color rgb="FFFF0000"/>
        <rFont val="HGP教科書体"/>
        <family val="1"/>
        <charset val="128"/>
      </rPr>
      <t>遠隔攻撃時には無し！</t>
    </r>
    <rPh sb="0" eb="2">
      <t>ケイコク</t>
    </rPh>
    <rPh sb="4" eb="6">
      <t>トクギ</t>
    </rPh>
    <rPh sb="7" eb="9">
      <t>ボウギョ</t>
    </rPh>
    <rPh sb="14" eb="17">
      <t>イドウチュウ</t>
    </rPh>
    <rPh sb="21" eb="23">
      <t>エンカク</t>
    </rPh>
    <rPh sb="23" eb="25">
      <t>コウゲキ</t>
    </rPh>
    <rPh sb="25" eb="26">
      <t>ジ</t>
    </rPh>
    <rPh sb="28" eb="29">
      <t>ナ</t>
    </rPh>
    <phoneticPr fontId="1"/>
  </si>
  <si>
    <r>
      <rPr>
        <b/>
        <sz val="12"/>
        <color rgb="FFFF0000"/>
        <rFont val="HGP創英角ﾎﾟｯﾌﾟ体"/>
        <family val="3"/>
        <charset val="128"/>
      </rPr>
      <t>この移動中に限り　</t>
    </r>
    <r>
      <rPr>
        <b/>
        <sz val="12"/>
        <color theme="4" tint="-0.249977111117893"/>
        <rFont val="HGP創英角ｺﾞｼｯｸUB"/>
        <family val="3"/>
        <charset val="128"/>
      </rPr>
      <t>全ての防御値　</t>
    </r>
    <r>
      <rPr>
        <sz val="12"/>
        <color rgb="FFFF0000"/>
        <rFont val="HGP創英角ｺﾞｼｯｸUB"/>
        <family val="3"/>
        <charset val="128"/>
      </rPr>
      <t>＋</t>
    </r>
    <rPh sb="6" eb="7">
      <t>カギ</t>
    </rPh>
    <rPh sb="9" eb="10">
      <t>スベ</t>
    </rPh>
    <rPh sb="12" eb="14">
      <t>ボウギョ</t>
    </rPh>
    <rPh sb="14" eb="15">
      <t>チ</t>
    </rPh>
    <phoneticPr fontId="1"/>
  </si>
  <si>
    <t>挟撃＋急所攻撃アリ</t>
    <rPh sb="0" eb="2">
      <t>キョウゲキ</t>
    </rPh>
    <phoneticPr fontId="40"/>
  </si>
  <si>
    <t>　しかし、マーク元をとっとと殺った方が早い事も　しばしば・・・。</t>
    <rPh sb="8" eb="9">
      <t>モト</t>
    </rPh>
    <rPh sb="14" eb="15">
      <t>コロ</t>
    </rPh>
    <rPh sb="17" eb="18">
      <t>ホウ</t>
    </rPh>
    <rPh sb="19" eb="20">
      <t>ハヤ</t>
    </rPh>
    <rPh sb="21" eb="22">
      <t>コト</t>
    </rPh>
    <phoneticPr fontId="1"/>
  </si>
  <si>
    <t>　・対頑健の機会攻撃を喰らいまくる時</t>
    <rPh sb="2" eb="3">
      <t>タイ</t>
    </rPh>
    <rPh sb="3" eb="5">
      <t>ガンケン</t>
    </rPh>
    <rPh sb="6" eb="8">
      <t>キカイ</t>
    </rPh>
    <rPh sb="8" eb="10">
      <t>コウゲキ</t>
    </rPh>
    <rPh sb="11" eb="12">
      <t>ク</t>
    </rPh>
    <rPh sb="17" eb="18">
      <t>トキ</t>
    </rPh>
    <phoneticPr fontId="1"/>
  </si>
  <si>
    <t>　・伏せや不動等、付加価値の大きい機会攻撃を使ってくる時</t>
    <rPh sb="2" eb="3">
      <t>フ</t>
    </rPh>
    <rPh sb="5" eb="7">
      <t>フドウ</t>
    </rPh>
    <rPh sb="7" eb="8">
      <t>ナド</t>
    </rPh>
    <rPh sb="9" eb="11">
      <t>フカ</t>
    </rPh>
    <rPh sb="11" eb="13">
      <t>カチ</t>
    </rPh>
    <rPh sb="14" eb="15">
      <t>オオ</t>
    </rPh>
    <rPh sb="17" eb="21">
      <t>キカイコウゲキ</t>
    </rPh>
    <rPh sb="22" eb="23">
      <t>ツカ</t>
    </rPh>
    <rPh sb="27" eb="28">
      <t>トキ</t>
    </rPh>
    <phoneticPr fontId="1"/>
  </si>
  <si>
    <r>
      <t>①兵士役に</t>
    </r>
    <r>
      <rPr>
        <b/>
        <sz val="11"/>
        <color rgb="FFFF0000"/>
        <rFont val="HGP創英角ｺﾞｼｯｸUB"/>
        <family val="3"/>
        <charset val="128"/>
      </rPr>
      <t>マークされて困った時</t>
    </r>
    <r>
      <rPr>
        <sz val="11"/>
        <color theme="1"/>
        <rFont val="ＭＳ Ｐゴシック"/>
        <family val="2"/>
        <charset val="128"/>
        <scheme val="minor"/>
      </rPr>
      <t>、とっとと使う。</t>
    </r>
    <rPh sb="1" eb="3">
      <t>ヘイシ</t>
    </rPh>
    <rPh sb="3" eb="4">
      <t>ヤク</t>
    </rPh>
    <rPh sb="11" eb="12">
      <t>コマ</t>
    </rPh>
    <rPh sb="14" eb="15">
      <t>トキ</t>
    </rPh>
    <rPh sb="20" eb="21">
      <t>ツカ</t>
    </rPh>
    <phoneticPr fontId="1"/>
  </si>
  <si>
    <r>
      <t>②</t>
    </r>
    <r>
      <rPr>
        <b/>
        <sz val="11"/>
        <color rgb="FFFF0000"/>
        <rFont val="HGP創英角ｺﾞｼｯｸUB"/>
        <family val="3"/>
        <charset val="128"/>
      </rPr>
      <t>絶対に機会攻撃を喰らいたくない時</t>
    </r>
    <r>
      <rPr>
        <sz val="11"/>
        <color theme="1"/>
        <rFont val="ＭＳ Ｐゴシック"/>
        <family val="2"/>
        <charset val="128"/>
        <scheme val="minor"/>
      </rPr>
      <t>、出し惜しみ無しで使う。</t>
    </r>
    <rPh sb="1" eb="3">
      <t>ゼッタイ</t>
    </rPh>
    <rPh sb="4" eb="6">
      <t>キカイ</t>
    </rPh>
    <rPh sb="6" eb="8">
      <t>コウゲキ</t>
    </rPh>
    <rPh sb="9" eb="10">
      <t>ク</t>
    </rPh>
    <rPh sb="16" eb="17">
      <t>トキ</t>
    </rPh>
    <rPh sb="18" eb="19">
      <t>ダ</t>
    </rPh>
    <rPh sb="20" eb="21">
      <t>オ</t>
    </rPh>
    <rPh sb="23" eb="24">
      <t>ナ</t>
    </rPh>
    <rPh sb="26" eb="27">
      <t>ツカ</t>
    </rPh>
    <phoneticPr fontId="1"/>
  </si>
  <si>
    <t>減速時は　大幅に弱体化するので注意！</t>
    <rPh sb="0" eb="2">
      <t>ゲンソク</t>
    </rPh>
    <rPh sb="2" eb="3">
      <t>ジ</t>
    </rPh>
    <rPh sb="5" eb="7">
      <t>オオハバ</t>
    </rPh>
    <rPh sb="8" eb="11">
      <t>ジャクタイカ</t>
    </rPh>
    <rPh sb="15" eb="17">
      <t>チュウイ</t>
    </rPh>
    <phoneticPr fontId="1"/>
  </si>
  <si>
    <r>
      <t>【敏捷力】+1対"ＡCor</t>
    </r>
    <r>
      <rPr>
        <b/>
        <sz val="11"/>
        <color rgb="FFFF0000"/>
        <rFont val="ＭＳ Ｐゴシック"/>
        <family val="3"/>
        <charset val="128"/>
        <scheme val="minor"/>
      </rPr>
      <t>反応</t>
    </r>
    <r>
      <rPr>
        <sz val="11"/>
        <color theme="1"/>
        <rFont val="ＭＳ Ｐゴシック"/>
        <family val="2"/>
        <charset val="128"/>
        <scheme val="minor"/>
      </rPr>
      <t>"</t>
    </r>
    <rPh sb="1" eb="3">
      <t>ビンショウ</t>
    </rPh>
    <rPh sb="3" eb="4">
      <t>リョク</t>
    </rPh>
    <rPh sb="7" eb="8">
      <t>タイ</t>
    </rPh>
    <rPh sb="13" eb="15">
      <t>ハンノウ</t>
    </rPh>
    <phoneticPr fontId="1"/>
  </si>
  <si>
    <r>
      <t>【敏捷力】対"ＡCor</t>
    </r>
    <r>
      <rPr>
        <b/>
        <sz val="11"/>
        <color rgb="FFFF0000"/>
        <rFont val="ＭＳ Ｐゴシック"/>
        <family val="3"/>
        <charset val="128"/>
        <scheme val="minor"/>
      </rPr>
      <t>反応</t>
    </r>
    <r>
      <rPr>
        <sz val="11"/>
        <color theme="1"/>
        <rFont val="ＭＳ Ｐゴシック"/>
        <family val="2"/>
        <charset val="128"/>
        <scheme val="minor"/>
      </rPr>
      <t>"</t>
    </r>
    <rPh sb="1" eb="3">
      <t>ビンショウ</t>
    </rPh>
    <rPh sb="3" eb="4">
      <t>リョク</t>
    </rPh>
    <rPh sb="5" eb="6">
      <t>タイ</t>
    </rPh>
    <rPh sb="11" eb="13">
      <t>ハンノウ</t>
    </rPh>
    <phoneticPr fontId="1"/>
  </si>
  <si>
    <r>
      <t>[一日毎]◆</t>
    </r>
    <r>
      <rPr>
        <b/>
        <sz val="11"/>
        <color rgb="FFFF0000"/>
        <rFont val="ＭＳ Ｐゴシック"/>
        <family val="3"/>
        <charset val="128"/>
        <scheme val="minor"/>
      </rPr>
      <t>[威嚇]</t>
    </r>
    <r>
      <rPr>
        <sz val="11"/>
        <color theme="1"/>
        <rFont val="ＭＳ Ｐゴシック"/>
        <family val="2"/>
        <charset val="128"/>
        <scheme val="minor"/>
      </rPr>
      <t>、[武器]、[武勇]</t>
    </r>
    <rPh sb="7" eb="9">
      <t>イカク</t>
    </rPh>
    <phoneticPr fontId="1"/>
  </si>
  <si>
    <t>　　　　　　　　　クリティカルヒットを完全に無効化！</t>
    <rPh sb="19" eb="21">
      <t>カンゼン</t>
    </rPh>
    <rPh sb="22" eb="25">
      <t>ムコウカ</t>
    </rPh>
    <phoneticPr fontId="1"/>
  </si>
  <si>
    <t>　　　だけど、出目２０は必中に変わりなし、残念！</t>
    <rPh sb="7" eb="9">
      <t>デメ</t>
    </rPh>
    <rPh sb="12" eb="14">
      <t>ヒッチュウ</t>
    </rPh>
    <rPh sb="15" eb="16">
      <t>カ</t>
    </rPh>
    <rPh sb="21" eb="23">
      <t>ザンネン</t>
    </rPh>
    <phoneticPr fontId="1"/>
  </si>
  <si>
    <r>
      <rPr>
        <b/>
        <sz val="14"/>
        <color rgb="FFFF0000"/>
        <rFont val="HGP創英角ﾎﾟｯﾌﾟ体"/>
        <family val="3"/>
        <charset val="128"/>
      </rPr>
      <t>警告！　　</t>
    </r>
    <r>
      <rPr>
        <b/>
        <sz val="14"/>
        <color rgb="FF00B0F0"/>
        <rFont val="ＭＳ Ｐゴシック"/>
        <family val="3"/>
        <charset val="128"/>
        <scheme val="minor"/>
      </rPr>
      <t>他の</t>
    </r>
    <r>
      <rPr>
        <b/>
        <sz val="18"/>
        <color rgb="FF00B0F0"/>
        <rFont val="ＭＳ Ｐゴシック"/>
        <family val="3"/>
        <charset val="128"/>
        <scheme val="minor"/>
      </rPr>
      <t>即応パワー</t>
    </r>
    <r>
      <rPr>
        <b/>
        <sz val="14"/>
        <color rgb="FF00B0F0"/>
        <rFont val="ＭＳ Ｐゴシック"/>
        <family val="3"/>
        <charset val="128"/>
        <scheme val="minor"/>
      </rPr>
      <t>や</t>
    </r>
    <r>
      <rPr>
        <b/>
        <sz val="18"/>
        <color rgb="FF00B0F0"/>
        <rFont val="ＭＳ Ｐゴシック"/>
        <family val="3"/>
        <charset val="128"/>
        <scheme val="minor"/>
      </rPr>
      <t>待機</t>
    </r>
    <r>
      <rPr>
        <b/>
        <sz val="14"/>
        <color rgb="FF00B0F0"/>
        <rFont val="ＭＳ Ｐゴシック"/>
        <family val="3"/>
        <charset val="128"/>
        <scheme val="minor"/>
      </rPr>
      <t>と全く両立できず。</t>
    </r>
    <rPh sb="0" eb="2">
      <t>ケイコク</t>
    </rPh>
    <rPh sb="5" eb="6">
      <t>ホカ</t>
    </rPh>
    <rPh sb="7" eb="9">
      <t>ソクオウ</t>
    </rPh>
    <rPh sb="13" eb="15">
      <t>タイキ</t>
    </rPh>
    <rPh sb="16" eb="17">
      <t>マッタ</t>
    </rPh>
    <rPh sb="18" eb="20">
      <t>リョウリツ</t>
    </rPh>
    <phoneticPr fontId="1"/>
  </si>
  <si>
    <r>
      <t>　特技で強化している分、</t>
    </r>
    <r>
      <rPr>
        <b/>
        <sz val="11"/>
        <color rgb="FFFF0000"/>
        <rFont val="ＭＳ Ｐゴシック"/>
        <family val="3"/>
        <charset val="128"/>
        <scheme val="minor"/>
      </rPr>
      <t>対反応ならば高確率で回避</t>
    </r>
    <r>
      <rPr>
        <sz val="11"/>
        <color theme="1"/>
        <rFont val="ＭＳ Ｐゴシック"/>
        <family val="2"/>
        <charset val="128"/>
        <scheme val="minor"/>
      </rPr>
      <t>できるので結構有効なハズ。</t>
    </r>
    <rPh sb="1" eb="3">
      <t>トクギ</t>
    </rPh>
    <rPh sb="4" eb="6">
      <t>キョウカ</t>
    </rPh>
    <rPh sb="10" eb="11">
      <t>ブン</t>
    </rPh>
    <rPh sb="12" eb="13">
      <t>タイ</t>
    </rPh>
    <rPh sb="13" eb="15">
      <t>ハンノウ</t>
    </rPh>
    <rPh sb="18" eb="21">
      <t>コウカクリツ</t>
    </rPh>
    <rPh sb="22" eb="24">
      <t>カイヒ</t>
    </rPh>
    <rPh sb="29" eb="31">
      <t>ケッコウ</t>
    </rPh>
    <rPh sb="31" eb="33">
      <t>ユウコウ</t>
    </rPh>
    <phoneticPr fontId="1"/>
  </si>
  <si>
    <t>①コレを使えばトドメを刺せそうな時、狙う！</t>
    <rPh sb="4" eb="5">
      <t>ツカ</t>
    </rPh>
    <rPh sb="11" eb="12">
      <t>サ</t>
    </rPh>
    <rPh sb="16" eb="17">
      <t>トキ</t>
    </rPh>
    <rPh sb="18" eb="19">
      <t>ネラ</t>
    </rPh>
    <phoneticPr fontId="1"/>
  </si>
  <si>
    <t>②コレの効果で確実に攻撃を回避できる時、出し惜しみ無し！</t>
    <rPh sb="4" eb="6">
      <t>コウカ</t>
    </rPh>
    <rPh sb="7" eb="9">
      <t>カクジツ</t>
    </rPh>
    <rPh sb="10" eb="12">
      <t>コウゲキ</t>
    </rPh>
    <rPh sb="13" eb="15">
      <t>カイヒ</t>
    </rPh>
    <rPh sb="18" eb="19">
      <t>トキ</t>
    </rPh>
    <rPh sb="20" eb="21">
      <t>ダ</t>
    </rPh>
    <rPh sb="22" eb="23">
      <t>オ</t>
    </rPh>
    <rPh sb="25" eb="26">
      <t>ナ</t>
    </rPh>
    <phoneticPr fontId="1"/>
  </si>
  <si>
    <t>　急所攻撃ほぼ確定なので　ダメージは期待できるし、　ミスしてもまだ回避できる希望は残るかも？</t>
    <rPh sb="1" eb="3">
      <t>キュウショ</t>
    </rPh>
    <rPh sb="3" eb="5">
      <t>コウゲキ</t>
    </rPh>
    <rPh sb="7" eb="9">
      <t>カクテイ</t>
    </rPh>
    <rPh sb="18" eb="20">
      <t>キタイ</t>
    </rPh>
    <rPh sb="33" eb="35">
      <t>カイヒ</t>
    </rPh>
    <rPh sb="38" eb="40">
      <t>キボウ</t>
    </rPh>
    <rPh sb="41" eb="42">
      <t>ノコ</t>
    </rPh>
    <phoneticPr fontId="1"/>
  </si>
  <si>
    <r>
      <t>使用者は</t>
    </r>
    <r>
      <rPr>
        <b/>
        <sz val="11"/>
        <color rgb="FFFF0000"/>
        <rFont val="ＭＳ Ｐゴシック"/>
        <family val="3"/>
        <charset val="128"/>
        <scheme val="minor"/>
      </rPr>
      <t>その攻撃に対する全防御値に＋４</t>
    </r>
    <r>
      <rPr>
        <sz val="11"/>
        <color theme="1"/>
        <rFont val="ＭＳ Ｐゴシック"/>
        <family val="2"/>
        <charset val="128"/>
        <scheme val="minor"/>
      </rPr>
      <t>のボーナスを得る。</t>
    </r>
    <rPh sb="0" eb="3">
      <t>シヨウシャ</t>
    </rPh>
    <rPh sb="6" eb="8">
      <t>コウゲキ</t>
    </rPh>
    <rPh sb="9" eb="10">
      <t>タイ</t>
    </rPh>
    <rPh sb="12" eb="13">
      <t>ゼン</t>
    </rPh>
    <rPh sb="13" eb="15">
      <t>ボウギョ</t>
    </rPh>
    <rPh sb="15" eb="16">
      <t>チ</t>
    </rPh>
    <rPh sb="25" eb="26">
      <t>エ</t>
    </rPh>
    <phoneticPr fontId="1"/>
  </si>
  <si>
    <t>③たとえ攻撃が回避不可でも　とりあえず攻撃する事は可能！</t>
    <rPh sb="4" eb="6">
      <t>コウゲキ</t>
    </rPh>
    <rPh sb="7" eb="9">
      <t>カイヒ</t>
    </rPh>
    <rPh sb="9" eb="11">
      <t>フカ</t>
    </rPh>
    <rPh sb="19" eb="21">
      <t>コウゲキ</t>
    </rPh>
    <rPh sb="23" eb="24">
      <t>コト</t>
    </rPh>
    <rPh sb="25" eb="27">
      <t>カノウ</t>
    </rPh>
    <phoneticPr fontId="1"/>
  </si>
  <si>
    <r>
      <t>　</t>
    </r>
    <r>
      <rPr>
        <b/>
        <sz val="11"/>
        <color rgb="FFFF0000"/>
        <rFont val="ＭＳ Ｐゴシック"/>
        <family val="3"/>
        <charset val="128"/>
        <scheme val="minor"/>
      </rPr>
      <t>近接縛りが結構辛い</t>
    </r>
    <r>
      <rPr>
        <sz val="11"/>
        <color theme="1"/>
        <rFont val="ＭＳ Ｐゴシック"/>
        <family val="2"/>
        <charset val="128"/>
        <scheme val="minor"/>
      </rPr>
      <t>が、連続攻撃の初撃にキメられると　かなり美味しい。</t>
    </r>
    <rPh sb="1" eb="3">
      <t>キンセツ</t>
    </rPh>
    <rPh sb="3" eb="4">
      <t>シバ</t>
    </rPh>
    <rPh sb="6" eb="8">
      <t>ケッコウ</t>
    </rPh>
    <rPh sb="8" eb="9">
      <t>ツラ</t>
    </rPh>
    <rPh sb="12" eb="14">
      <t>レンゾク</t>
    </rPh>
    <rPh sb="14" eb="16">
      <t>コウゲキ</t>
    </rPh>
    <rPh sb="17" eb="18">
      <t>ショ</t>
    </rPh>
    <rPh sb="18" eb="19">
      <t>ゲキ</t>
    </rPh>
    <rPh sb="30" eb="32">
      <t>オイ</t>
    </rPh>
    <phoneticPr fontId="1"/>
  </si>
  <si>
    <r>
      <t>　この時だけで無く、</t>
    </r>
    <r>
      <rPr>
        <b/>
        <sz val="11"/>
        <color rgb="FFFF0000"/>
        <rFont val="ＭＳ Ｐゴシック"/>
        <family val="3"/>
        <charset val="128"/>
        <scheme val="minor"/>
      </rPr>
      <t>次のターン終了まで急所攻撃がほぼ確定！　</t>
    </r>
    <r>
      <rPr>
        <sz val="11"/>
        <rFont val="ＭＳ Ｐゴシック"/>
        <family val="3"/>
        <charset val="128"/>
        <scheme val="minor"/>
      </rPr>
      <t>ピンピンしている敵に特に有効？</t>
    </r>
    <rPh sb="3" eb="4">
      <t>トキ</t>
    </rPh>
    <rPh sb="7" eb="8">
      <t>ナ</t>
    </rPh>
    <rPh sb="10" eb="11">
      <t>ツギ</t>
    </rPh>
    <rPh sb="15" eb="17">
      <t>シュウリョウ</t>
    </rPh>
    <rPh sb="19" eb="21">
      <t>キュウショ</t>
    </rPh>
    <rPh sb="21" eb="23">
      <t>コウゲキ</t>
    </rPh>
    <rPh sb="26" eb="28">
      <t>カクテイ</t>
    </rPh>
    <rPh sb="38" eb="39">
      <t>テキ</t>
    </rPh>
    <rPh sb="40" eb="41">
      <t>トク</t>
    </rPh>
    <rPh sb="42" eb="44">
      <t>ユウコウ</t>
    </rPh>
    <phoneticPr fontId="1"/>
  </si>
  <si>
    <r>
      <t>②</t>
    </r>
    <r>
      <rPr>
        <b/>
        <sz val="11"/>
        <color rgb="FFFF0000"/>
        <rFont val="ＭＳ Ｐゴシック"/>
        <family val="3"/>
        <charset val="128"/>
        <scheme val="minor"/>
      </rPr>
      <t>クリティカルヒット</t>
    </r>
    <r>
      <rPr>
        <sz val="11"/>
        <color theme="1"/>
        <rFont val="ＭＳ Ｐゴシック"/>
        <family val="2"/>
        <charset val="128"/>
        <scheme val="minor"/>
      </rPr>
      <t>を喰らった時、迷わず使う！</t>
    </r>
    <rPh sb="11" eb="12">
      <t>ク</t>
    </rPh>
    <rPh sb="15" eb="16">
      <t>トキ</t>
    </rPh>
    <rPh sb="17" eb="18">
      <t>マヨ</t>
    </rPh>
    <rPh sb="20" eb="21">
      <t>ツカ</t>
    </rPh>
    <phoneticPr fontId="1"/>
  </si>
  <si>
    <t>　基本的に使って損は無いハズ。　ダメ元でGO！</t>
    <rPh sb="1" eb="4">
      <t>キホンテキ</t>
    </rPh>
    <rPh sb="5" eb="6">
      <t>ツカ</t>
    </rPh>
    <rPh sb="8" eb="9">
      <t>ソン</t>
    </rPh>
    <rPh sb="10" eb="11">
      <t>ナ</t>
    </rPh>
    <rPh sb="18" eb="19">
      <t>モト</t>
    </rPh>
    <phoneticPr fontId="1"/>
  </si>
  <si>
    <t>　・ハルトが瀕死で戦場から安全に離脱したい時</t>
    <rPh sb="6" eb="8">
      <t>ヒンシ</t>
    </rPh>
    <rPh sb="9" eb="11">
      <t>センジョウ</t>
    </rPh>
    <rPh sb="13" eb="15">
      <t>アンゼン</t>
    </rPh>
    <rPh sb="16" eb="18">
      <t>リダツ</t>
    </rPh>
    <rPh sb="21" eb="22">
      <t>トキ</t>
    </rPh>
    <phoneticPr fontId="1"/>
  </si>
  <si>
    <r>
      <rPr>
        <b/>
        <sz val="14"/>
        <color rgb="FFFF0000"/>
        <rFont val="HGP創英角ﾎﾟｯﾌﾟ体"/>
        <family val="3"/>
        <charset val="128"/>
      </rPr>
      <t>警告！　　</t>
    </r>
    <r>
      <rPr>
        <b/>
        <sz val="14"/>
        <color rgb="FF00B0F0"/>
        <rFont val="ＭＳ Ｐゴシック"/>
        <family val="3"/>
        <charset val="128"/>
        <scheme val="minor"/>
      </rPr>
      <t>他の</t>
    </r>
    <r>
      <rPr>
        <b/>
        <sz val="18"/>
        <color rgb="FF00B0F0"/>
        <rFont val="ＭＳ Ｐゴシック"/>
        <family val="3"/>
        <charset val="128"/>
        <scheme val="minor"/>
      </rPr>
      <t>マイナーアクション</t>
    </r>
    <r>
      <rPr>
        <b/>
        <sz val="14"/>
        <color rgb="FF00B0F0"/>
        <rFont val="ＭＳ Ｐゴシック"/>
        <family val="3"/>
        <charset val="128"/>
        <scheme val="minor"/>
      </rPr>
      <t>との両立、</t>
    </r>
    <r>
      <rPr>
        <b/>
        <sz val="20"/>
        <color rgb="FFFF0000"/>
        <rFont val="ＭＳ Ｐゴシック"/>
        <family val="3"/>
        <charset val="128"/>
        <scheme val="minor"/>
      </rPr>
      <t>激ムズ！</t>
    </r>
    <rPh sb="0" eb="2">
      <t>ケイコク</t>
    </rPh>
    <rPh sb="5" eb="6">
      <t>ホカ</t>
    </rPh>
    <rPh sb="18" eb="20">
      <t>リョウリツ</t>
    </rPh>
    <rPh sb="21" eb="22">
      <t>ハゲ</t>
    </rPh>
    <phoneticPr fontId="1"/>
  </si>
  <si>
    <t>ブラッド・バス</t>
    <phoneticPr fontId="1"/>
  </si>
  <si>
    <r>
      <rPr>
        <b/>
        <sz val="14"/>
        <color theme="4"/>
        <rFont val="HGP創英角ﾎﾟｯﾌﾟ体"/>
        <family val="3"/>
        <charset val="128"/>
      </rPr>
      <t>基本的に数字上は</t>
    </r>
    <r>
      <rPr>
        <b/>
        <sz val="14"/>
        <color rgb="FFFF0000"/>
        <rFont val="HGP創英角ﾎﾟｯﾌﾟ体"/>
        <family val="3"/>
        <charset val="128"/>
      </rPr>
      <t>　全ての点で遠隔基礎攻撃より劣る！</t>
    </r>
    <phoneticPr fontId="40"/>
  </si>
  <si>
    <r>
      <t>機会攻撃等、どうしても</t>
    </r>
    <r>
      <rPr>
        <b/>
        <sz val="12"/>
        <color rgb="FFFF0000"/>
        <rFont val="ＭＳ Ｐゴシック"/>
        <family val="3"/>
        <charset val="128"/>
        <scheme val="minor"/>
      </rPr>
      <t>近接でないと都合が悪い時</t>
    </r>
    <r>
      <rPr>
        <b/>
        <sz val="12"/>
        <color theme="4"/>
        <rFont val="ＭＳ Ｐゴシック"/>
        <family val="3"/>
        <charset val="128"/>
        <scheme val="minor"/>
      </rPr>
      <t>以外　　基本的には使わない？</t>
    </r>
    <rPh sb="0" eb="2">
      <t>キカイ</t>
    </rPh>
    <rPh sb="2" eb="4">
      <t>コウゲキ</t>
    </rPh>
    <rPh sb="4" eb="5">
      <t>トウ</t>
    </rPh>
    <rPh sb="11" eb="13">
      <t>キンセツ</t>
    </rPh>
    <rPh sb="17" eb="19">
      <t>ツゴウ</t>
    </rPh>
    <rPh sb="20" eb="21">
      <t>ワル</t>
    </rPh>
    <rPh sb="22" eb="23">
      <t>トキ</t>
    </rPh>
    <rPh sb="23" eb="25">
      <t>イガイ</t>
    </rPh>
    <rPh sb="27" eb="30">
      <t>キホンテキ</t>
    </rPh>
    <rPh sb="32" eb="33">
      <t>ツカ</t>
    </rPh>
    <phoneticPr fontId="40"/>
  </si>
  <si>
    <r>
      <t>つまり、</t>
    </r>
    <r>
      <rPr>
        <b/>
        <sz val="14"/>
        <color rgb="FFFF0000"/>
        <rFont val="ＭＳ Ｐゴシック"/>
        <family val="3"/>
        <charset val="128"/>
        <scheme val="minor"/>
      </rPr>
      <t>機会攻撃や即応アクションもＡＰで再ロール可能！</t>
    </r>
    <r>
      <rPr>
        <sz val="11"/>
        <color theme="1"/>
        <rFont val="ＭＳ Ｐゴシック"/>
        <family val="2"/>
        <charset val="128"/>
        <scheme val="minor"/>
      </rPr>
      <t>　</t>
    </r>
    <rPh sb="4" eb="6">
      <t>キカイ</t>
    </rPh>
    <rPh sb="6" eb="8">
      <t>コウゲキ</t>
    </rPh>
    <rPh sb="9" eb="11">
      <t>ソクオウ</t>
    </rPh>
    <rPh sb="20" eb="21">
      <t>サイ</t>
    </rPh>
    <rPh sb="24" eb="26">
      <t>カノウ</t>
    </rPh>
    <phoneticPr fontId="1"/>
  </si>
  <si>
    <t>一応、自分のターンでなくともＡＰを使って攻撃ロールの再ロールＯＫ！　どうしても当てたい時にはアリ？</t>
    <rPh sb="0" eb="2">
      <t>イチオウ</t>
    </rPh>
    <rPh sb="3" eb="5">
      <t>ジブン</t>
    </rPh>
    <rPh sb="17" eb="18">
      <t>ツカ</t>
    </rPh>
    <rPh sb="20" eb="22">
      <t>コウゲキ</t>
    </rPh>
    <rPh sb="26" eb="27">
      <t>サイ</t>
    </rPh>
    <phoneticPr fontId="1"/>
  </si>
  <si>
    <t>こんなに高性能でも出目１８，１９クリティカルも無いし、標準アクションで使う事はほとんど無さそう。</t>
    <rPh sb="4" eb="7">
      <t>コウセイノウ</t>
    </rPh>
    <rPh sb="9" eb="10">
      <t>デ</t>
    </rPh>
    <rPh sb="10" eb="11">
      <t>メ</t>
    </rPh>
    <rPh sb="23" eb="24">
      <t>ナ</t>
    </rPh>
    <rPh sb="27" eb="29">
      <t>ヒョウジュン</t>
    </rPh>
    <rPh sb="35" eb="36">
      <t>ツカ</t>
    </rPh>
    <rPh sb="37" eb="38">
      <t>コト</t>
    </rPh>
    <rPh sb="43" eb="44">
      <t>ナ</t>
    </rPh>
    <phoneticPr fontId="40"/>
  </si>
  <si>
    <r>
      <t>レアケースとして</t>
    </r>
    <r>
      <rPr>
        <b/>
        <sz val="12"/>
        <color rgb="FFFF0000"/>
        <rFont val="ＭＳ Ｐゴシック"/>
        <family val="3"/>
        <charset val="128"/>
        <scheme val="minor"/>
      </rPr>
      <t>ハルトから１０マス以上離れていて単に伏せているだけの敵</t>
    </r>
    <r>
      <rPr>
        <sz val="10"/>
        <color theme="1"/>
        <rFont val="ＭＳ Ｐゴシック"/>
        <family val="2"/>
        <charset val="128"/>
        <scheme val="minor"/>
      </rPr>
      <t>や</t>
    </r>
    <r>
      <rPr>
        <b/>
        <sz val="12"/>
        <color rgb="FFFF0000"/>
        <rFont val="ＭＳ Ｐゴシック"/>
        <family val="3"/>
        <charset val="128"/>
        <scheme val="minor"/>
      </rPr>
      <t>ハルトの幻惑中</t>
    </r>
    <r>
      <rPr>
        <sz val="10"/>
        <color theme="1"/>
        <rFont val="ＭＳ Ｐゴシック"/>
        <family val="2"/>
        <charset val="128"/>
        <scheme val="minor"/>
      </rPr>
      <t>には</t>
    </r>
    <rPh sb="17" eb="19">
      <t>イジョウ</t>
    </rPh>
    <rPh sb="19" eb="20">
      <t>ハナ</t>
    </rPh>
    <rPh sb="24" eb="25">
      <t>タン</t>
    </rPh>
    <rPh sb="26" eb="27">
      <t>フ</t>
    </rPh>
    <rPh sb="34" eb="35">
      <t>テキ</t>
    </rPh>
    <rPh sb="40" eb="42">
      <t>ゲンワク</t>
    </rPh>
    <rPh sb="42" eb="43">
      <t>チュウ</t>
    </rPh>
    <phoneticPr fontId="40"/>
  </si>
  <si>
    <r>
      <rPr>
        <b/>
        <sz val="14"/>
        <color rgb="FFFF0000"/>
        <rFont val="HGP創英角ｺﾞｼｯｸUB"/>
        <family val="3"/>
        <charset val="128"/>
      </rPr>
      <t>突撃しないと急所攻撃が成立しない</t>
    </r>
    <r>
      <rPr>
        <sz val="11"/>
        <color theme="1"/>
        <rFont val="ＭＳ Ｐゴシック"/>
        <family val="2"/>
        <charset val="128"/>
        <scheme val="minor"/>
      </rPr>
      <t>事は理屈上あり得る(笑)。</t>
    </r>
    <rPh sb="0" eb="2">
      <t>トツゲキ</t>
    </rPh>
    <rPh sb="6" eb="8">
      <t>キュウショ</t>
    </rPh>
    <rPh sb="8" eb="10">
      <t>コウゲキ</t>
    </rPh>
    <rPh sb="11" eb="13">
      <t>セイリツ</t>
    </rPh>
    <rPh sb="16" eb="17">
      <t>コト</t>
    </rPh>
    <rPh sb="18" eb="20">
      <t>リクツ</t>
    </rPh>
    <rPh sb="20" eb="21">
      <t>ジョウ</t>
    </rPh>
    <rPh sb="23" eb="24">
      <t>ウ</t>
    </rPh>
    <rPh sb="26" eb="27">
      <t>ワライ</t>
    </rPh>
    <phoneticPr fontId="40"/>
  </si>
  <si>
    <t>そんな時ならば　ためらわずに突撃すべき！　　ま、そんな時ぐらいかも？</t>
    <rPh sb="3" eb="4">
      <t>トキ</t>
    </rPh>
    <rPh sb="14" eb="16">
      <t>トツゲキ</t>
    </rPh>
    <rPh sb="27" eb="28">
      <t>トキ</t>
    </rPh>
    <phoneticPr fontId="40"/>
  </si>
  <si>
    <t>自分のターンの機会攻撃に対してウッカリ宣言するな(笑)！</t>
    <rPh sb="0" eb="2">
      <t>ジブン</t>
    </rPh>
    <rPh sb="7" eb="9">
      <t>キカイ</t>
    </rPh>
    <rPh sb="9" eb="11">
      <t>コウゲキ</t>
    </rPh>
    <rPh sb="12" eb="13">
      <t>タイ</t>
    </rPh>
    <rPh sb="19" eb="21">
      <t>センゲン</t>
    </rPh>
    <rPh sb="25" eb="26">
      <t>ワライ</t>
    </rPh>
    <phoneticPr fontId="1"/>
  </si>
  <si>
    <t>①敵の攻撃がヒットした時、使う　(当たり前)</t>
    <rPh sb="1" eb="2">
      <t>テキ</t>
    </rPh>
    <rPh sb="3" eb="5">
      <t>コウゲキ</t>
    </rPh>
    <rPh sb="11" eb="12">
      <t>トキ</t>
    </rPh>
    <rPh sb="13" eb="14">
      <t>ツカ</t>
    </rPh>
    <rPh sb="17" eb="18">
      <t>ア</t>
    </rPh>
    <rPh sb="20" eb="21">
      <t>マエ</t>
    </rPh>
    <phoneticPr fontId="1"/>
  </si>
  <si>
    <t>待機と両立しない以上、温存せずに使える時には使っとくのが吉！</t>
    <rPh sb="0" eb="2">
      <t>タイキ</t>
    </rPh>
    <rPh sb="3" eb="5">
      <t>リョウリツ</t>
    </rPh>
    <rPh sb="8" eb="10">
      <t>イジョウ</t>
    </rPh>
    <rPh sb="11" eb="13">
      <t>オンゾン</t>
    </rPh>
    <rPh sb="16" eb="17">
      <t>ツカ</t>
    </rPh>
    <rPh sb="19" eb="20">
      <t>トキ</t>
    </rPh>
    <rPh sb="22" eb="23">
      <t>ツカ</t>
    </rPh>
    <rPh sb="28" eb="29">
      <t>キチ</t>
    </rPh>
    <phoneticPr fontId="1"/>
  </si>
  <si>
    <t>でないと　特技で強化した甲斐が無いと言うモノ。　無理に粘ってまで最大効果を狙う必要は無い！</t>
    <rPh sb="5" eb="7">
      <t>トクギ</t>
    </rPh>
    <rPh sb="8" eb="10">
      <t>キョウカ</t>
    </rPh>
    <rPh sb="12" eb="14">
      <t>カイ</t>
    </rPh>
    <rPh sb="15" eb="16">
      <t>ナ</t>
    </rPh>
    <rPh sb="18" eb="19">
      <t>イ</t>
    </rPh>
    <rPh sb="24" eb="26">
      <t>ムリ</t>
    </rPh>
    <rPh sb="27" eb="28">
      <t>ネバ</t>
    </rPh>
    <rPh sb="32" eb="34">
      <t>サイダイ</t>
    </rPh>
    <rPh sb="34" eb="36">
      <t>コウカ</t>
    </rPh>
    <rPh sb="37" eb="38">
      <t>ネラ</t>
    </rPh>
    <rPh sb="39" eb="41">
      <t>ヒツヨウ</t>
    </rPh>
    <rPh sb="42" eb="43">
      <t>ナ</t>
    </rPh>
    <phoneticPr fontId="1"/>
  </si>
  <si>
    <t>残念ながら思わず鼻水が出る程も強くは無い・・・。</t>
    <rPh sb="0" eb="2">
      <t>ザンネン</t>
    </rPh>
    <rPh sb="5" eb="6">
      <t>オモ</t>
    </rPh>
    <rPh sb="8" eb="10">
      <t>ハナミズ</t>
    </rPh>
    <rPh sb="11" eb="12">
      <t>デ</t>
    </rPh>
    <rPh sb="13" eb="14">
      <t>ホド</t>
    </rPh>
    <rPh sb="15" eb="16">
      <t>ツヨ</t>
    </rPh>
    <rPh sb="18" eb="19">
      <t>ナ</t>
    </rPh>
    <phoneticPr fontId="1"/>
  </si>
  <si>
    <r>
      <t>つまり、</t>
    </r>
    <r>
      <rPr>
        <b/>
        <sz val="14"/>
        <color rgb="FFFF0000"/>
        <rFont val="ＭＳ Ｐゴシック"/>
        <family val="3"/>
        <charset val="128"/>
        <scheme val="minor"/>
      </rPr>
      <t>他のパワーを差し置いて使う程でもない</t>
    </r>
    <r>
      <rPr>
        <sz val="11"/>
        <color theme="1"/>
        <rFont val="ＭＳ Ｐゴシック"/>
        <family val="2"/>
        <charset val="128"/>
        <scheme val="minor"/>
      </rPr>
      <t>し、</t>
    </r>
    <r>
      <rPr>
        <b/>
        <sz val="14"/>
        <color rgb="FFFF0000"/>
        <rFont val="ＭＳ Ｐゴシック"/>
        <family val="3"/>
        <charset val="128"/>
        <scheme val="minor"/>
      </rPr>
      <t>大事に取って置く程でもない</t>
    </r>
    <r>
      <rPr>
        <sz val="11"/>
        <color theme="1"/>
        <rFont val="ＭＳ Ｐゴシック"/>
        <family val="2"/>
        <charset val="128"/>
        <scheme val="minor"/>
      </rPr>
      <t>。</t>
    </r>
    <rPh sb="4" eb="5">
      <t>ホカ</t>
    </rPh>
    <rPh sb="10" eb="11">
      <t>サ</t>
    </rPh>
    <rPh sb="12" eb="13">
      <t>オ</t>
    </rPh>
    <rPh sb="15" eb="16">
      <t>ツカ</t>
    </rPh>
    <rPh sb="17" eb="18">
      <t>ホド</t>
    </rPh>
    <phoneticPr fontId="1"/>
  </si>
  <si>
    <r>
      <t>よって、</t>
    </r>
    <r>
      <rPr>
        <b/>
        <sz val="14"/>
        <color rgb="FFFF0000"/>
        <rFont val="ＭＳ Ｐゴシック"/>
        <family val="3"/>
        <charset val="128"/>
        <scheme val="minor"/>
      </rPr>
      <t>遭遇の序盤に</t>
    </r>
    <r>
      <rPr>
        <sz val="11"/>
        <color theme="1"/>
        <rFont val="ＭＳ Ｐゴシック"/>
        <family val="2"/>
        <charset val="128"/>
        <scheme val="minor"/>
      </rPr>
      <t>(第一ターンがベスト)　</t>
    </r>
    <r>
      <rPr>
        <b/>
        <sz val="14"/>
        <color rgb="FFFF0000"/>
        <rFont val="ＭＳ Ｐゴシック"/>
        <family val="3"/>
        <charset val="128"/>
        <scheme val="minor"/>
      </rPr>
      <t>マイナーアクションが余ったら迷わず使う！</t>
    </r>
    <rPh sb="4" eb="6">
      <t>ソウグウ</t>
    </rPh>
    <rPh sb="7" eb="9">
      <t>ジョバン</t>
    </rPh>
    <rPh sb="11" eb="13">
      <t>ダイイチ</t>
    </rPh>
    <rPh sb="32" eb="33">
      <t>アマ</t>
    </rPh>
    <rPh sb="36" eb="37">
      <t>マヨ</t>
    </rPh>
    <rPh sb="39" eb="40">
      <t>ツカ</t>
    </rPh>
    <phoneticPr fontId="1"/>
  </si>
  <si>
    <r>
      <t>使用者は１つのダガーを使用していなければならず、</t>
    </r>
    <r>
      <rPr>
        <b/>
        <sz val="11"/>
        <color rgb="FFFF0000"/>
        <rFont val="ＭＳ Ｐゴシック"/>
        <family val="3"/>
        <charset val="128"/>
        <scheme val="minor"/>
      </rPr>
      <t>このターン中に</t>
    </r>
    <r>
      <rPr>
        <sz val="11"/>
        <color theme="1"/>
        <rFont val="ＭＳ Ｐゴシック"/>
        <family val="2"/>
        <charset val="128"/>
        <scheme val="minor"/>
      </rPr>
      <t>1体の敵に対して</t>
    </r>
    <rPh sb="0" eb="2">
      <t>シヨウ</t>
    </rPh>
    <rPh sb="2" eb="3">
      <t>シャ</t>
    </rPh>
    <rPh sb="11" eb="13">
      <t>シヨウ</t>
    </rPh>
    <rPh sb="29" eb="30">
      <t>チュウ</t>
    </rPh>
    <rPh sb="32" eb="33">
      <t>タイ</t>
    </rPh>
    <rPh sb="34" eb="35">
      <t>テキ</t>
    </rPh>
    <rPh sb="36" eb="37">
      <t>タイ</t>
    </rPh>
    <phoneticPr fontId="1"/>
  </si>
  <si>
    <r>
      <rPr>
        <b/>
        <sz val="16"/>
        <color theme="4"/>
        <rFont val="HGP創英角ﾎﾟｯﾌﾟ体"/>
        <family val="3"/>
        <charset val="128"/>
      </rPr>
      <t>基本的に数字上は</t>
    </r>
    <r>
      <rPr>
        <b/>
        <sz val="16"/>
        <color rgb="FFFF0000"/>
        <rFont val="HGP創英角ﾎﾟｯﾌﾟ体"/>
        <family val="3"/>
        <charset val="128"/>
      </rPr>
      <t>　全ての点で近接基礎攻撃より勝る！</t>
    </r>
    <rPh sb="14" eb="16">
      <t>キンセツ</t>
    </rPh>
    <rPh sb="22" eb="23">
      <t>マサ</t>
    </rPh>
    <phoneticPr fontId="40"/>
  </si>
  <si>
    <r>
      <t>つまり、</t>
    </r>
    <r>
      <rPr>
        <b/>
        <sz val="14"/>
        <color rgb="FFFF0000"/>
        <rFont val="ＭＳ Ｐゴシック"/>
        <family val="3"/>
        <charset val="128"/>
        <scheme val="minor"/>
      </rPr>
      <t>フリーアクションの基礎攻撃をもＡＰで再ロール可能！</t>
    </r>
    <r>
      <rPr>
        <sz val="11"/>
        <color theme="1"/>
        <rFont val="ＭＳ Ｐゴシック"/>
        <family val="2"/>
        <charset val="128"/>
        <scheme val="minor"/>
      </rPr>
      <t>　</t>
    </r>
    <rPh sb="13" eb="15">
      <t>キソ</t>
    </rPh>
    <rPh sb="15" eb="17">
      <t>コウゲキ</t>
    </rPh>
    <rPh sb="22" eb="23">
      <t>サイ</t>
    </rPh>
    <rPh sb="26" eb="28">
      <t>カノウ</t>
    </rPh>
    <phoneticPr fontId="1"/>
  </si>
  <si>
    <r>
      <rPr>
        <b/>
        <sz val="14"/>
        <color rgb="FFFF0000"/>
        <rFont val="HGP創英角ｺﾞｼｯｸUB"/>
        <family val="3"/>
        <charset val="128"/>
      </rPr>
      <t>残りＨＰ２０前後の敵へのトドメ用</t>
    </r>
    <r>
      <rPr>
        <sz val="11"/>
        <color theme="1"/>
        <rFont val="ＭＳ Ｐゴシック"/>
        <family val="2"/>
        <charset val="128"/>
        <scheme val="minor"/>
      </rPr>
      <t>には最凶の性能を誇るハズ。</t>
    </r>
    <rPh sb="0" eb="1">
      <t>ノコ</t>
    </rPh>
    <rPh sb="6" eb="8">
      <t>ゼンゴ</t>
    </rPh>
    <rPh sb="9" eb="10">
      <t>テキ</t>
    </rPh>
    <rPh sb="15" eb="16">
      <t>ヨウ</t>
    </rPh>
    <rPh sb="18" eb="19">
      <t>サイ</t>
    </rPh>
    <rPh sb="19" eb="20">
      <t>キョウ</t>
    </rPh>
    <rPh sb="21" eb="23">
      <t>セイノウ</t>
    </rPh>
    <rPh sb="24" eb="25">
      <t>ホコ</t>
    </rPh>
    <phoneticPr fontId="1"/>
  </si>
  <si>
    <r>
      <t>他の遠近両用パワーと比較しても</t>
    </r>
    <r>
      <rPr>
        <b/>
        <sz val="14"/>
        <color rgb="FFFF0000"/>
        <rFont val="HGP創英角ｺﾞｼｯｸUB"/>
        <family val="3"/>
        <charset val="128"/>
      </rPr>
      <t>命中に関してだけは圧倒的に優秀</t>
    </r>
    <r>
      <rPr>
        <sz val="11"/>
        <color theme="1"/>
        <rFont val="ＭＳ Ｐゴシック"/>
        <family val="2"/>
        <charset val="128"/>
        <scheme val="minor"/>
      </rPr>
      <t>なので、</t>
    </r>
    <rPh sb="0" eb="1">
      <t>ホカ</t>
    </rPh>
    <rPh sb="2" eb="4">
      <t>エンキン</t>
    </rPh>
    <rPh sb="4" eb="6">
      <t>リョウヨウ</t>
    </rPh>
    <rPh sb="10" eb="12">
      <t>ヒカク</t>
    </rPh>
    <rPh sb="15" eb="17">
      <t>メイチュウ</t>
    </rPh>
    <rPh sb="18" eb="19">
      <t>カン</t>
    </rPh>
    <rPh sb="24" eb="27">
      <t>アットウテキ</t>
    </rPh>
    <rPh sb="28" eb="30">
      <t>ユウシュウ</t>
    </rPh>
    <phoneticPr fontId="1"/>
  </si>
  <si>
    <t>ここまで高性能でも出目１８，１９クリティカルも無いく、標準アクションで使う事はほとんど無さそうだが、</t>
    <rPh sb="4" eb="7">
      <t>コウセイノウ</t>
    </rPh>
    <rPh sb="9" eb="10">
      <t>デ</t>
    </rPh>
    <rPh sb="10" eb="11">
      <t>メ</t>
    </rPh>
    <rPh sb="23" eb="24">
      <t>ナ</t>
    </rPh>
    <rPh sb="27" eb="29">
      <t>ヒョウジュン</t>
    </rPh>
    <rPh sb="35" eb="36">
      <t>ツカ</t>
    </rPh>
    <rPh sb="37" eb="38">
      <t>コト</t>
    </rPh>
    <rPh sb="43" eb="44">
      <t>ナ</t>
    </rPh>
    <phoneticPr fontId="40"/>
  </si>
  <si>
    <t>標準アクションでも遠隔基礎の使い所は間違いなくあるので見逃さないように！</t>
    <rPh sb="0" eb="2">
      <t>ヒョウジュン</t>
    </rPh>
    <rPh sb="9" eb="11">
      <t>エンカク</t>
    </rPh>
    <rPh sb="11" eb="13">
      <t>キソ</t>
    </rPh>
    <rPh sb="14" eb="15">
      <t>ツカ</t>
    </rPh>
    <rPh sb="16" eb="17">
      <t>トコロ</t>
    </rPh>
    <rPh sb="18" eb="20">
      <t>マチガ</t>
    </rPh>
    <rPh sb="27" eb="29">
      <t>ミノガ</t>
    </rPh>
    <phoneticPr fontId="1"/>
  </si>
  <si>
    <r>
      <t>つまり、</t>
    </r>
    <r>
      <rPr>
        <b/>
        <sz val="14"/>
        <color rgb="FFFF0000"/>
        <rFont val="ＭＳ Ｐゴシック"/>
        <family val="3"/>
        <charset val="128"/>
        <scheme val="minor"/>
      </rPr>
      <t>即応アクションもＡＰで再ロール可能！</t>
    </r>
    <r>
      <rPr>
        <sz val="11"/>
        <color theme="1"/>
        <rFont val="ＭＳ Ｐゴシック"/>
        <family val="2"/>
        <charset val="128"/>
        <scheme val="minor"/>
      </rPr>
      <t>　</t>
    </r>
    <rPh sb="4" eb="6">
      <t>ソクオウ</t>
    </rPh>
    <rPh sb="15" eb="16">
      <t>サイ</t>
    </rPh>
    <rPh sb="19" eb="21">
      <t>カノウ</t>
    </rPh>
    <phoneticPr fontId="1"/>
  </si>
  <si>
    <t>トーネード・ストライク</t>
    <phoneticPr fontId="1"/>
  </si>
  <si>
    <t>②対ＡＣでしか狙えない。</t>
    <rPh sb="1" eb="2">
      <t>タイ</t>
    </rPh>
    <rPh sb="7" eb="8">
      <t>ネラ</t>
    </rPh>
    <phoneticPr fontId="1"/>
  </si>
  <si>
    <t>④出目１８，１９でもクリティカルヒット！</t>
    <rPh sb="1" eb="3">
      <t>デメ</t>
    </rPh>
    <phoneticPr fontId="1"/>
  </si>
  <si>
    <r>
      <rPr>
        <b/>
        <sz val="14"/>
        <color rgb="FFFF0000"/>
        <rFont val="HGP創英ﾌﾟﾚｾﾞﾝｽEB"/>
        <family val="1"/>
        <charset val="128"/>
      </rPr>
      <t>急所攻撃が成立し続ける限り標準アクションはコレ１本でＯＫ！</t>
    </r>
    <r>
      <rPr>
        <sz val="11"/>
        <color theme="1"/>
        <rFont val="ＭＳ Ｐゴシック"/>
        <family val="2"/>
        <charset val="128"/>
        <scheme val="minor"/>
      </rPr>
      <t>と言っても過言では無い？</t>
    </r>
    <rPh sb="0" eb="2">
      <t>キュウショ</t>
    </rPh>
    <rPh sb="2" eb="4">
      <t>コウゲキ</t>
    </rPh>
    <rPh sb="5" eb="7">
      <t>セイリツ</t>
    </rPh>
    <rPh sb="8" eb="9">
      <t>ツヅ</t>
    </rPh>
    <rPh sb="11" eb="12">
      <t>カギ</t>
    </rPh>
    <rPh sb="13" eb="15">
      <t>ヒョウジュン</t>
    </rPh>
    <rPh sb="24" eb="25">
      <t>ポン</t>
    </rPh>
    <rPh sb="30" eb="31">
      <t>イ</t>
    </rPh>
    <rPh sb="34" eb="36">
      <t>カゴン</t>
    </rPh>
    <rPh sb="38" eb="39">
      <t>ナ</t>
    </rPh>
    <phoneticPr fontId="1"/>
  </si>
  <si>
    <r>
      <t>①</t>
    </r>
    <r>
      <rPr>
        <b/>
        <sz val="11"/>
        <color rgb="FFFF0000"/>
        <rFont val="ＭＳ Ｐゴシック"/>
        <family val="3"/>
        <charset val="128"/>
        <scheme val="minor"/>
      </rPr>
      <t>最低でもマイナーアクションを残した状態で</t>
    </r>
    <r>
      <rPr>
        <sz val="11"/>
        <color theme="1"/>
        <rFont val="ＭＳ Ｐゴシック"/>
        <family val="2"/>
        <charset val="128"/>
        <scheme val="minor"/>
      </rPr>
      <t>トーネード・ストライクを撃つ！　(遠隔でＯＫ)</t>
    </r>
    <rPh sb="15" eb="16">
      <t>ノコ</t>
    </rPh>
    <rPh sb="18" eb="20">
      <t>ジョウタイ</t>
    </rPh>
    <rPh sb="33" eb="34">
      <t>ウ</t>
    </rPh>
    <rPh sb="38" eb="40">
      <t>エンカク</t>
    </rPh>
    <phoneticPr fontId="1"/>
  </si>
  <si>
    <t>②２体も狙えば　どちらかはクリティカルになるか？　いや、なってくれ～！　（第一ターンに狙いたい？）</t>
    <rPh sb="2" eb="3">
      <t>タイ</t>
    </rPh>
    <rPh sb="4" eb="5">
      <t>ネラ</t>
    </rPh>
    <rPh sb="43" eb="44">
      <t>ネラ</t>
    </rPh>
    <phoneticPr fontId="1"/>
  </si>
  <si>
    <r>
      <t>③期待通りクリティカルヒットした暁には、敵を引き寄せつつ自分はオマケの移動で見事に</t>
    </r>
    <r>
      <rPr>
        <b/>
        <sz val="11"/>
        <color rgb="FFFF0000"/>
        <rFont val="ＭＳ Ｐゴシック"/>
        <family val="3"/>
        <charset val="128"/>
        <scheme val="minor"/>
      </rPr>
      <t>敵と隣接！</t>
    </r>
    <rPh sb="1" eb="3">
      <t>キタイ</t>
    </rPh>
    <rPh sb="3" eb="4">
      <t>ドオ</t>
    </rPh>
    <rPh sb="16" eb="17">
      <t>アカツキ</t>
    </rPh>
    <rPh sb="20" eb="21">
      <t>テキ</t>
    </rPh>
    <rPh sb="22" eb="23">
      <t>ヒ</t>
    </rPh>
    <rPh sb="24" eb="25">
      <t>ヨ</t>
    </rPh>
    <rPh sb="28" eb="30">
      <t>ジブン</t>
    </rPh>
    <rPh sb="35" eb="37">
      <t>イドウ</t>
    </rPh>
    <rPh sb="38" eb="40">
      <t>ミゴト</t>
    </rPh>
    <rPh sb="41" eb="42">
      <t>テキ</t>
    </rPh>
    <rPh sb="43" eb="45">
      <t>リンセツ</t>
    </rPh>
    <phoneticPr fontId="1"/>
  </si>
  <si>
    <t>必殺パターン！　開幕魔球　野茂○雄殺法！</t>
    <rPh sb="0" eb="2">
      <t>ヒッサツ</t>
    </rPh>
    <rPh sb="8" eb="10">
      <t>カイマク</t>
    </rPh>
    <rPh sb="10" eb="12">
      <t>マキュウ</t>
    </rPh>
    <rPh sb="13" eb="15">
      <t>ノモ</t>
    </rPh>
    <rPh sb="16" eb="17">
      <t>オス</t>
    </rPh>
    <rPh sb="17" eb="18">
      <t>サツ</t>
    </rPh>
    <rPh sb="18" eb="19">
      <t>ホウ</t>
    </rPh>
    <phoneticPr fontId="1"/>
  </si>
  <si>
    <t>メディティション・オヴ・ザ・ブレード</t>
    <phoneticPr fontId="1"/>
  </si>
  <si>
    <r>
      <t>しかし、それ故に</t>
    </r>
    <r>
      <rPr>
        <b/>
        <sz val="16"/>
        <color rgb="FFFF0000"/>
        <rFont val="HGP創英角ﾎﾟｯﾌﾟ体"/>
        <family val="3"/>
        <charset val="128"/>
      </rPr>
      <t>魅力ダガーマスターにとっては基本のキ！</t>
    </r>
    <r>
      <rPr>
        <sz val="11"/>
        <color theme="1"/>
        <rFont val="ＭＳ Ｐゴシック"/>
        <family val="2"/>
        <charset val="128"/>
        <scheme val="minor"/>
      </rPr>
      <t>とも言える。</t>
    </r>
    <rPh sb="6" eb="7">
      <t>ユエ</t>
    </rPh>
    <rPh sb="8" eb="10">
      <t>ミリョク</t>
    </rPh>
    <rPh sb="22" eb="24">
      <t>キホン</t>
    </rPh>
    <rPh sb="29" eb="30">
      <t>イ</t>
    </rPh>
    <phoneticPr fontId="1"/>
  </si>
  <si>
    <t>シンプル・イズ・ベストの見本って事で。　本当に使い易い・・・。</t>
    <rPh sb="12" eb="14">
      <t>ミホン</t>
    </rPh>
    <rPh sb="16" eb="17">
      <t>コト</t>
    </rPh>
    <rPh sb="20" eb="22">
      <t>ホントウ</t>
    </rPh>
    <rPh sb="23" eb="24">
      <t>ツカ</t>
    </rPh>
    <rPh sb="25" eb="26">
      <t>ヤス</t>
    </rPh>
    <phoneticPr fontId="1"/>
  </si>
  <si>
    <t>移動力が足りない時に使う、ただそれだけ！</t>
    <rPh sb="0" eb="2">
      <t>イドウ</t>
    </rPh>
    <rPh sb="2" eb="3">
      <t>リョク</t>
    </rPh>
    <rPh sb="4" eb="5">
      <t>タ</t>
    </rPh>
    <rPh sb="8" eb="9">
      <t>トキ</t>
    </rPh>
    <rPh sb="10" eb="11">
      <t>ツカ</t>
    </rPh>
    <phoneticPr fontId="1"/>
  </si>
  <si>
    <t>②幻惑時でも３マス移動しつつ攻撃出来る。　突撃の１００倍は融通が効くので便利！</t>
    <rPh sb="1" eb="3">
      <t>ゲンワク</t>
    </rPh>
    <rPh sb="3" eb="4">
      <t>ジ</t>
    </rPh>
    <rPh sb="9" eb="11">
      <t>イドウ</t>
    </rPh>
    <rPh sb="14" eb="16">
      <t>コウゲキ</t>
    </rPh>
    <rPh sb="16" eb="18">
      <t>デキ</t>
    </rPh>
    <rPh sb="21" eb="23">
      <t>トツゲキ</t>
    </rPh>
    <rPh sb="27" eb="28">
      <t>バイ</t>
    </rPh>
    <rPh sb="29" eb="31">
      <t>ユウヅウ</t>
    </rPh>
    <rPh sb="32" eb="33">
      <t>キ</t>
    </rPh>
    <rPh sb="36" eb="38">
      <t>ベンリ</t>
    </rPh>
    <phoneticPr fontId="1"/>
  </si>
  <si>
    <r>
      <t>③</t>
    </r>
    <r>
      <rPr>
        <b/>
        <sz val="11"/>
        <color rgb="FFFF0000"/>
        <rFont val="ＭＳ Ｐゴシック"/>
        <family val="3"/>
        <charset val="128"/>
        <scheme val="minor"/>
      </rPr>
      <t>減速時にも３マス移動は保証</t>
    </r>
    <r>
      <rPr>
        <sz val="11"/>
        <color theme="1"/>
        <rFont val="ＭＳ Ｐゴシック"/>
        <family val="2"/>
        <charset val="128"/>
        <scheme val="minor"/>
      </rPr>
      <t>されるので、移動アクションとの併用で５マス移動保証はかなり大きい。</t>
    </r>
    <rPh sb="1" eb="3">
      <t>ゲンソク</t>
    </rPh>
    <rPh sb="3" eb="4">
      <t>ジ</t>
    </rPh>
    <rPh sb="9" eb="11">
      <t>イドウ</t>
    </rPh>
    <rPh sb="12" eb="14">
      <t>ホショウ</t>
    </rPh>
    <rPh sb="20" eb="22">
      <t>イドウ</t>
    </rPh>
    <rPh sb="29" eb="31">
      <t>ヘイヨウ</t>
    </rPh>
    <rPh sb="35" eb="37">
      <t>イドウ</t>
    </rPh>
    <rPh sb="37" eb="39">
      <t>ホショウ</t>
    </rPh>
    <rPh sb="43" eb="44">
      <t>オオ</t>
    </rPh>
    <phoneticPr fontId="1"/>
  </si>
  <si>
    <r>
      <t>結局、</t>
    </r>
    <r>
      <rPr>
        <b/>
        <sz val="11"/>
        <color rgb="FFFF0000"/>
        <rFont val="ＭＳ Ｐゴシック"/>
        <family val="3"/>
        <charset val="128"/>
        <scheme val="minor"/>
      </rPr>
      <t>移動力が足りているならばスライ･フラーリッシュで充分</t>
    </r>
    <r>
      <rPr>
        <sz val="11"/>
        <color theme="1"/>
        <rFont val="ＭＳ Ｐゴシック"/>
        <family val="2"/>
        <charset val="128"/>
        <scheme val="minor"/>
      </rPr>
      <t>。</t>
    </r>
    <rPh sb="0" eb="2">
      <t>ケッキョク</t>
    </rPh>
    <rPh sb="3" eb="5">
      <t>イドウ</t>
    </rPh>
    <rPh sb="5" eb="6">
      <t>リョク</t>
    </rPh>
    <rPh sb="7" eb="8">
      <t>タ</t>
    </rPh>
    <rPh sb="27" eb="29">
      <t>ジュウブン</t>
    </rPh>
    <phoneticPr fontId="1"/>
  </si>
  <si>
    <t>とっても便利だが、　コッチは　あくまでサブって事で・・・。</t>
    <rPh sb="4" eb="6">
      <t>ベンリ</t>
    </rPh>
    <rPh sb="23" eb="24">
      <t>コト</t>
    </rPh>
    <phoneticPr fontId="1"/>
  </si>
  <si>
    <r>
      <t>①ディアリング・ギャンブル使用時等、</t>
    </r>
    <r>
      <rPr>
        <b/>
        <sz val="11"/>
        <color rgb="FFFF0000"/>
        <rFont val="ＭＳ Ｐゴシック"/>
        <family val="3"/>
        <charset val="128"/>
        <scheme val="minor"/>
      </rPr>
      <t>機会攻撃を誘発する</t>
    </r>
    <r>
      <rPr>
        <sz val="11"/>
        <color theme="1"/>
        <rFont val="ＭＳ Ｐゴシック"/>
        <family val="2"/>
        <charset val="128"/>
        <scheme val="minor"/>
      </rPr>
      <t>為に移動距離を稼ぐ。</t>
    </r>
    <rPh sb="13" eb="15">
      <t>シヨウ</t>
    </rPh>
    <rPh sb="15" eb="16">
      <t>ジ</t>
    </rPh>
    <rPh sb="16" eb="17">
      <t>トウ</t>
    </rPh>
    <rPh sb="18" eb="20">
      <t>キカイ</t>
    </rPh>
    <rPh sb="20" eb="22">
      <t>コウゲキ</t>
    </rPh>
    <rPh sb="23" eb="25">
      <t>ユウハツ</t>
    </rPh>
    <rPh sb="27" eb="28">
      <t>タメ</t>
    </rPh>
    <rPh sb="29" eb="31">
      <t>イドウ</t>
    </rPh>
    <rPh sb="31" eb="33">
      <t>キョリ</t>
    </rPh>
    <rPh sb="34" eb="35">
      <t>カセ</t>
    </rPh>
    <phoneticPr fontId="1"/>
  </si>
  <si>
    <r>
      <t>基本的に</t>
    </r>
    <r>
      <rPr>
        <b/>
        <sz val="11"/>
        <color rgb="FFFF0000"/>
        <rFont val="ＭＳ Ｐゴシック"/>
        <family val="3"/>
        <charset val="128"/>
        <scheme val="minor"/>
      </rPr>
      <t>他の標準アクション攻撃パワーは困った時以外　狙う必要が無い</t>
    </r>
    <r>
      <rPr>
        <sz val="11"/>
        <color theme="1"/>
        <rFont val="ＭＳ Ｐゴシック"/>
        <family val="2"/>
        <charset val="128"/>
        <scheme val="minor"/>
      </rPr>
      <t>かも？</t>
    </r>
    <rPh sb="0" eb="3">
      <t>キホンテキ</t>
    </rPh>
    <rPh sb="4" eb="5">
      <t>ホカ</t>
    </rPh>
    <rPh sb="6" eb="8">
      <t>ヒョウジュン</t>
    </rPh>
    <rPh sb="13" eb="15">
      <t>コウゲキ</t>
    </rPh>
    <rPh sb="19" eb="20">
      <t>コマ</t>
    </rPh>
    <rPh sb="22" eb="23">
      <t>トキ</t>
    </rPh>
    <rPh sb="23" eb="25">
      <t>イガイ</t>
    </rPh>
    <rPh sb="26" eb="27">
      <t>ネラ</t>
    </rPh>
    <rPh sb="28" eb="30">
      <t>ヒツヨウ</t>
    </rPh>
    <rPh sb="31" eb="32">
      <t>ナ</t>
    </rPh>
    <phoneticPr fontId="1"/>
  </si>
  <si>
    <r>
      <t>それ故に他の攻撃パワーは</t>
    </r>
    <r>
      <rPr>
        <b/>
        <sz val="11"/>
        <color rgb="FFFF0000"/>
        <rFont val="ＭＳ Ｐゴシック"/>
        <family val="3"/>
        <charset val="128"/>
        <scheme val="minor"/>
      </rPr>
      <t>付加価値の大きいモノを意識して取得</t>
    </r>
    <r>
      <rPr>
        <sz val="11"/>
        <color theme="1"/>
        <rFont val="ＭＳ Ｐゴシック"/>
        <family val="2"/>
        <charset val="128"/>
        <scheme val="minor"/>
      </rPr>
      <t>したい。</t>
    </r>
    <rPh sb="2" eb="3">
      <t>ユエ</t>
    </rPh>
    <rPh sb="4" eb="5">
      <t>ホカ</t>
    </rPh>
    <rPh sb="6" eb="8">
      <t>コウゲキ</t>
    </rPh>
    <rPh sb="12" eb="14">
      <t>フカ</t>
    </rPh>
    <rPh sb="14" eb="16">
      <t>カチ</t>
    </rPh>
    <rPh sb="17" eb="18">
      <t>オオ</t>
    </rPh>
    <rPh sb="23" eb="25">
      <t>イシキ</t>
    </rPh>
    <rPh sb="27" eb="29">
      <t>シュトク</t>
    </rPh>
    <phoneticPr fontId="1"/>
  </si>
  <si>
    <t>急所攻撃付きダメージ</t>
    <rPh sb="0" eb="2">
      <t>キュウショ</t>
    </rPh>
    <rPh sb="2" eb="4">
      <t>コウゲキ</t>
    </rPh>
    <rPh sb="4" eb="5">
      <t>ツ</t>
    </rPh>
    <phoneticPr fontId="1"/>
  </si>
  <si>
    <t>戦術的優位付き命中</t>
    <rPh sb="0" eb="3">
      <t>センジュツテキ</t>
    </rPh>
    <rPh sb="3" eb="5">
      <t>ユウイ</t>
    </rPh>
    <rPh sb="5" eb="6">
      <t>ツ</t>
    </rPh>
    <rPh sb="7" eb="9">
      <t>メイチュウ</t>
    </rPh>
    <phoneticPr fontId="1"/>
  </si>
  <si>
    <t>ロー・スラッシュ</t>
    <phoneticPr fontId="1"/>
  </si>
  <si>
    <r>
      <t>①ハルトのターン開始時には</t>
    </r>
    <r>
      <rPr>
        <b/>
        <sz val="11"/>
        <color rgb="FFFF0000"/>
        <rFont val="ＭＳ Ｐゴシック"/>
        <family val="3"/>
        <charset val="128"/>
        <scheme val="minor"/>
      </rPr>
      <t>ハルトとの挟撃が成立するよう</t>
    </r>
    <r>
      <rPr>
        <sz val="11"/>
        <color theme="1"/>
        <rFont val="ＭＳ Ｐゴシック"/>
        <family val="2"/>
        <charset val="128"/>
        <scheme val="minor"/>
      </rPr>
      <t>に、</t>
    </r>
    <r>
      <rPr>
        <b/>
        <sz val="11"/>
        <color rgb="FFFF0000"/>
        <rFont val="ＭＳ Ｐゴシック"/>
        <family val="3"/>
        <charset val="128"/>
        <scheme val="minor"/>
      </rPr>
      <t>味方が位置を調節する</t>
    </r>
    <r>
      <rPr>
        <sz val="11"/>
        <color theme="1"/>
        <rFont val="ＭＳ Ｐゴシック"/>
        <family val="2"/>
        <charset val="128"/>
        <scheme val="minor"/>
      </rPr>
      <t>。</t>
    </r>
    <rPh sb="8" eb="10">
      <t>カイシ</t>
    </rPh>
    <rPh sb="10" eb="11">
      <t>ジ</t>
    </rPh>
    <rPh sb="18" eb="20">
      <t>キョウゲキ</t>
    </rPh>
    <rPh sb="21" eb="23">
      <t>セイリツ</t>
    </rPh>
    <rPh sb="29" eb="31">
      <t>ミカタ</t>
    </rPh>
    <rPh sb="32" eb="34">
      <t>イチ</t>
    </rPh>
    <rPh sb="35" eb="37">
      <t>チョウセツ</t>
    </rPh>
    <phoneticPr fontId="1"/>
  </si>
  <si>
    <t>　・ロー・スラッシュ、クリティカルＨit！</t>
    <phoneticPr fontId="1"/>
  </si>
  <si>
    <t>　・ロー・スラッシュ、通常Ｈit！</t>
    <rPh sb="11" eb="13">
      <t>ツウジョウ</t>
    </rPh>
    <phoneticPr fontId="1"/>
  </si>
  <si>
    <t>　・ロー・スラッシュ、Ｈitせず残念！</t>
    <rPh sb="16" eb="18">
      <t>ザンネン</t>
    </rPh>
    <phoneticPr fontId="1"/>
  </si>
  <si>
    <t>スライ･フラーリッシュ</t>
    <phoneticPr fontId="1"/>
  </si>
  <si>
    <r>
      <t>②まず、いきなり</t>
    </r>
    <r>
      <rPr>
        <b/>
        <sz val="11"/>
        <color rgb="FFFF0000"/>
        <rFont val="ＭＳ Ｐゴシック"/>
        <family val="3"/>
        <charset val="128"/>
        <scheme val="minor"/>
      </rPr>
      <t>挟撃ロー・スラッシュ！</t>
    </r>
    <r>
      <rPr>
        <sz val="11"/>
        <color theme="1"/>
        <rFont val="ＭＳ Ｐゴシック"/>
        <family val="2"/>
        <charset val="128"/>
        <scheme val="minor"/>
      </rPr>
      <t>　（挟撃成立＝ハルト幻惑じゃな～い！）</t>
    </r>
    <rPh sb="8" eb="10">
      <t>キョウゲキ</t>
    </rPh>
    <rPh sb="21" eb="23">
      <t>キョウゲキ</t>
    </rPh>
    <rPh sb="23" eb="25">
      <t>セイリツ</t>
    </rPh>
    <rPh sb="29" eb="31">
      <t>ゲンワク</t>
    </rPh>
    <phoneticPr fontId="1"/>
  </si>
  <si>
    <t>⇒待機せずに、すぐにスライ･フラーリッシュで攻撃！</t>
    <rPh sb="1" eb="3">
      <t>タイキ</t>
    </rPh>
    <rPh sb="22" eb="24">
      <t>コウゲキ</t>
    </rPh>
    <phoneticPr fontId="1"/>
  </si>
  <si>
    <t>③以上の手順を尽くせば、マイナーアクションで攻撃する機会を最大限につくる事が可能なハズ。</t>
    <rPh sb="1" eb="3">
      <t>イジョウ</t>
    </rPh>
    <rPh sb="4" eb="6">
      <t>テジュン</t>
    </rPh>
    <rPh sb="7" eb="8">
      <t>ツ</t>
    </rPh>
    <rPh sb="22" eb="24">
      <t>コウゲキ</t>
    </rPh>
    <rPh sb="26" eb="28">
      <t>キカイ</t>
    </rPh>
    <rPh sb="29" eb="32">
      <t>サイダイゲン</t>
    </rPh>
    <rPh sb="36" eb="37">
      <t>コト</t>
    </rPh>
    <rPh sb="38" eb="40">
      <t>カノウ</t>
    </rPh>
    <phoneticPr fontId="1"/>
  </si>
  <si>
    <r>
      <t>　</t>
    </r>
    <r>
      <rPr>
        <b/>
        <i/>
        <sz val="11"/>
        <color rgb="FFFF0000"/>
        <rFont val="ＭＳ Ｐゴシック"/>
        <family val="3"/>
        <charset val="128"/>
        <scheme val="minor"/>
      </rPr>
      <t>クリリン</t>
    </r>
    <r>
      <rPr>
        <sz val="11"/>
        <color theme="1"/>
        <rFont val="ＭＳ Ｐゴシック"/>
        <family val="2"/>
        <charset val="128"/>
        <scheme val="minor"/>
      </rPr>
      <t>のチャンスを潰さずに　ロー・スラッシュを使うには、この方法しかない。</t>
    </r>
    <rPh sb="11" eb="12">
      <t>ツブ</t>
    </rPh>
    <rPh sb="25" eb="26">
      <t>ツカ</t>
    </rPh>
    <rPh sb="32" eb="34">
      <t>ホウホウ</t>
    </rPh>
    <phoneticPr fontId="1"/>
  </si>
  <si>
    <t>③遠近両用の遭遇毎よりもダメージは高いが、それしか効果が無い。</t>
    <rPh sb="1" eb="3">
      <t>エンキン</t>
    </rPh>
    <rPh sb="3" eb="5">
      <t>リョウヨウ</t>
    </rPh>
    <rPh sb="6" eb="8">
      <t>ソウグウ</t>
    </rPh>
    <rPh sb="8" eb="9">
      <t>マイ</t>
    </rPh>
    <rPh sb="17" eb="18">
      <t>タカ</t>
    </rPh>
    <rPh sb="25" eb="27">
      <t>コウカ</t>
    </rPh>
    <rPh sb="28" eb="29">
      <t>ナ</t>
    </rPh>
    <phoneticPr fontId="1"/>
  </si>
  <si>
    <t>①遠近両用。</t>
    <rPh sb="1" eb="3">
      <t>エンキン</t>
    </rPh>
    <rPh sb="3" eb="5">
      <t>リョウヨウ</t>
    </rPh>
    <phoneticPr fontId="1"/>
  </si>
  <si>
    <t>と、ダガーマスターにとって最低限必要な要素は揃っているが、特徴がほとんど無いとも言える(笑)。</t>
    <rPh sb="13" eb="16">
      <t>サイテイゲン</t>
    </rPh>
    <rPh sb="16" eb="18">
      <t>ヒツヨウ</t>
    </rPh>
    <rPh sb="19" eb="21">
      <t>ヨウソ</t>
    </rPh>
    <rPh sb="22" eb="23">
      <t>ソロ</t>
    </rPh>
    <rPh sb="29" eb="31">
      <t>トクチョウ</t>
    </rPh>
    <rPh sb="36" eb="37">
      <t>ナ</t>
    </rPh>
    <rPh sb="40" eb="41">
      <t>イ</t>
    </rPh>
    <rPh sb="44" eb="45">
      <t>ワライ</t>
    </rPh>
    <phoneticPr fontId="1"/>
  </si>
  <si>
    <t>まァ、標準での攻撃が外れた時に　挟撃じゃないロー・スラッシュを狙うのも決して悪手ではない。</t>
    <rPh sb="3" eb="5">
      <t>ヒョウジュン</t>
    </rPh>
    <rPh sb="7" eb="9">
      <t>コウゲキ</t>
    </rPh>
    <rPh sb="10" eb="11">
      <t>ハズ</t>
    </rPh>
    <rPh sb="13" eb="14">
      <t>トキ</t>
    </rPh>
    <rPh sb="16" eb="18">
      <t>キョウゲキ</t>
    </rPh>
    <rPh sb="31" eb="32">
      <t>ネラ</t>
    </rPh>
    <rPh sb="35" eb="36">
      <t>ケッ</t>
    </rPh>
    <rPh sb="38" eb="40">
      <t>アクシュ</t>
    </rPh>
    <phoneticPr fontId="1"/>
  </si>
  <si>
    <r>
      <t>この</t>
    </r>
    <r>
      <rPr>
        <b/>
        <sz val="11"/>
        <color rgb="FFFF0000"/>
        <rFont val="ＭＳ Ｐゴシック"/>
        <family val="3"/>
        <charset val="128"/>
        <scheme val="minor"/>
      </rPr>
      <t>攻撃の前に</t>
    </r>
    <r>
      <rPr>
        <sz val="11"/>
        <color theme="1"/>
        <rFont val="ＭＳ Ｐゴシック"/>
        <family val="2"/>
        <charset val="128"/>
        <scheme val="minor"/>
      </rPr>
      <t>使用者は</t>
    </r>
    <r>
      <rPr>
        <sz val="11"/>
        <rFont val="ＭＳ Ｐゴシック"/>
        <family val="3"/>
        <charset val="128"/>
        <scheme val="minor"/>
      </rPr>
      <t>２マスの</t>
    </r>
    <r>
      <rPr>
        <b/>
        <sz val="11"/>
        <color rgb="FFFF0000"/>
        <rFont val="ＭＳ Ｐゴシック"/>
        <family val="3"/>
        <charset val="128"/>
        <scheme val="minor"/>
      </rPr>
      <t>シフト</t>
    </r>
    <r>
      <rPr>
        <sz val="11"/>
        <color theme="1"/>
        <rFont val="ＭＳ Ｐゴシック"/>
        <family val="2"/>
        <charset val="128"/>
        <scheme val="minor"/>
      </rPr>
      <t>を行うことができる。もし、目標がこのシフトの前に</t>
    </r>
    <rPh sb="2" eb="4">
      <t>コウゲキ</t>
    </rPh>
    <rPh sb="5" eb="6">
      <t>マエ</t>
    </rPh>
    <rPh sb="7" eb="10">
      <t>シヨウシャ</t>
    </rPh>
    <rPh sb="19" eb="20">
      <t>オコナ</t>
    </rPh>
    <rPh sb="31" eb="33">
      <t>モクヒョウ</t>
    </rPh>
    <rPh sb="40" eb="41">
      <t>マエ</t>
    </rPh>
    <phoneticPr fontId="1"/>
  </si>
  <si>
    <r>
      <t>使用者は２マスの</t>
    </r>
    <r>
      <rPr>
        <b/>
        <sz val="11"/>
        <color rgb="FFFF0000"/>
        <rFont val="ＭＳ Ｐゴシック"/>
        <family val="3"/>
        <charset val="128"/>
        <scheme val="minor"/>
      </rPr>
      <t>シフト</t>
    </r>
    <r>
      <rPr>
        <sz val="11"/>
        <rFont val="ＭＳ Ｐゴシック"/>
        <family val="3"/>
        <charset val="128"/>
        <scheme val="minor"/>
      </rPr>
      <t>を行うことができる。もし使用者がこのシフトの後に何らかの</t>
    </r>
    <r>
      <rPr>
        <b/>
        <sz val="11"/>
        <color rgb="FFFF0000"/>
        <rFont val="ＭＳ Ｐゴシック"/>
        <family val="3"/>
        <charset val="128"/>
        <scheme val="minor"/>
      </rPr>
      <t>遮蔽あるい</t>
    </r>
    <rPh sb="0" eb="3">
      <t>シヨウシャ</t>
    </rPh>
    <rPh sb="12" eb="13">
      <t>オコナ</t>
    </rPh>
    <rPh sb="23" eb="26">
      <t>シヨウシャ</t>
    </rPh>
    <rPh sb="33" eb="34">
      <t>ノチ</t>
    </rPh>
    <rPh sb="35" eb="36">
      <t>ナン</t>
    </rPh>
    <rPh sb="39" eb="41">
      <t>シャヘイ</t>
    </rPh>
    <phoneticPr fontId="1"/>
  </si>
  <si>
    <r>
      <rPr>
        <b/>
        <sz val="20"/>
        <color theme="4" tint="-0.249977111117893"/>
        <rFont val="HGP創英角ﾎﾟｯﾌﾟ体"/>
        <family val="3"/>
        <charset val="128"/>
      </rPr>
      <t>つまり</t>
    </r>
    <r>
      <rPr>
        <b/>
        <sz val="20"/>
        <color rgb="FFFF0000"/>
        <rFont val="HGP創英角ﾎﾟｯﾌﾟ体"/>
        <family val="3"/>
        <charset val="128"/>
      </rPr>
      <t>１d４</t>
    </r>
    <r>
      <rPr>
        <b/>
        <sz val="20"/>
        <color theme="8" tint="-0.249977111117893"/>
        <rFont val="HGP創英角ﾎﾟｯﾌﾟ体"/>
        <family val="3"/>
        <charset val="128"/>
      </rPr>
      <t>が</t>
    </r>
    <r>
      <rPr>
        <b/>
        <sz val="20"/>
        <color rgb="FFFF0000"/>
        <rFont val="HGP創英角ﾎﾟｯﾌﾟ体"/>
        <family val="3"/>
        <charset val="128"/>
      </rPr>
      <t>１d６</t>
    </r>
    <r>
      <rPr>
        <b/>
        <sz val="20"/>
        <color theme="4" tint="-0.249977111117893"/>
        <rFont val="HGP創英角ﾎﾟｯﾌﾟ体"/>
        <family val="3"/>
        <charset val="128"/>
      </rPr>
      <t>になるって事さ！</t>
    </r>
    <rPh sb="15" eb="16">
      <t>コト</t>
    </rPh>
    <phoneticPr fontId="1"/>
  </si>
  <si>
    <r>
      <t>ま、そもそも　このパワー、　マルチクラスで</t>
    </r>
    <r>
      <rPr>
        <b/>
        <i/>
        <sz val="11"/>
        <color rgb="FFFF0000"/>
        <rFont val="ＭＳ Ｐゴシック"/>
        <family val="3"/>
        <charset val="128"/>
        <scheme val="minor"/>
      </rPr>
      <t>運動</t>
    </r>
    <r>
      <rPr>
        <sz val="11"/>
        <rFont val="ＭＳ Ｐゴシック"/>
        <family val="3"/>
        <charset val="128"/>
        <scheme val="minor"/>
      </rPr>
      <t>技能を取ったオマケなので高望みするのも　どうかと。</t>
    </r>
    <rPh sb="21" eb="23">
      <t>ウンドウ</t>
    </rPh>
    <rPh sb="23" eb="25">
      <t>ギノウ</t>
    </rPh>
    <rPh sb="26" eb="27">
      <t>ト</t>
    </rPh>
    <rPh sb="35" eb="37">
      <t>タカノゾ</t>
    </rPh>
    <phoneticPr fontId="1"/>
  </si>
  <si>
    <t>一応、オマケの横滑りも付いているしね・・・。　</t>
    <rPh sb="0" eb="2">
      <t>イチオウ</t>
    </rPh>
    <rPh sb="7" eb="9">
      <t>ヨコスベ</t>
    </rPh>
    <rPh sb="11" eb="12">
      <t>ツ</t>
    </rPh>
    <phoneticPr fontId="1"/>
  </si>
  <si>
    <t>グラスターにでも使って、転ばぬっとく？</t>
    <rPh sb="8" eb="9">
      <t>ツカ</t>
    </rPh>
    <rPh sb="12" eb="13">
      <t>コロ</t>
    </rPh>
    <phoneticPr fontId="1"/>
  </si>
  <si>
    <t>指揮役２人＋１が同時に無力化された時の保険にはなっている。</t>
    <rPh sb="0" eb="2">
      <t>シキ</t>
    </rPh>
    <rPh sb="2" eb="3">
      <t>ヤク</t>
    </rPh>
    <rPh sb="4" eb="5">
      <t>リ</t>
    </rPh>
    <rPh sb="8" eb="10">
      <t>ドウジ</t>
    </rPh>
    <rPh sb="11" eb="13">
      <t>ムリョク</t>
    </rPh>
    <rPh sb="13" eb="14">
      <t>カ</t>
    </rPh>
    <rPh sb="17" eb="18">
      <t>トキ</t>
    </rPh>
    <rPh sb="19" eb="21">
      <t>ホケン</t>
    </rPh>
    <phoneticPr fontId="1"/>
  </si>
  <si>
    <t>②継続ダメージは　最低一度は目標のターンを迎えないと意味無し芳一。</t>
    <rPh sb="1" eb="3">
      <t>ケイゾク</t>
    </rPh>
    <rPh sb="9" eb="11">
      <t>サイテイ</t>
    </rPh>
    <rPh sb="11" eb="13">
      <t>イチド</t>
    </rPh>
    <rPh sb="14" eb="16">
      <t>モクヒョウ</t>
    </rPh>
    <rPh sb="21" eb="22">
      <t>ムカ</t>
    </rPh>
    <rPh sb="26" eb="28">
      <t>イミ</t>
    </rPh>
    <rPh sb="28" eb="29">
      <t>ナ</t>
    </rPh>
    <rPh sb="30" eb="31">
      <t>ホウ</t>
    </rPh>
    <rPh sb="31" eb="32">
      <t>イチ</t>
    </rPh>
    <phoneticPr fontId="1"/>
  </si>
  <si>
    <t>③うっかりクリティカルヒットしちゃった暁には、三桁ダメージ＋継続ダメージ２４　なんて事も・・・。</t>
    <rPh sb="19" eb="20">
      <t>アカツキ</t>
    </rPh>
    <rPh sb="23" eb="25">
      <t>３ケタ</t>
    </rPh>
    <rPh sb="30" eb="32">
      <t>ケイゾク</t>
    </rPh>
    <rPh sb="42" eb="43">
      <t>コト</t>
    </rPh>
    <phoneticPr fontId="1"/>
  </si>
  <si>
    <t>安定してスライ･フラーリッシュ以上のダメージが飛ぶ、本当に数少ないパワー</t>
    <rPh sb="0" eb="2">
      <t>アンテイ</t>
    </rPh>
    <rPh sb="15" eb="17">
      <t>イジョウ</t>
    </rPh>
    <rPh sb="23" eb="24">
      <t>ト</t>
    </rPh>
    <rPh sb="26" eb="28">
      <t>ホントウ</t>
    </rPh>
    <rPh sb="29" eb="30">
      <t>カズ</t>
    </rPh>
    <rPh sb="30" eb="31">
      <t>スク</t>
    </rPh>
    <phoneticPr fontId="1"/>
  </si>
  <si>
    <t>理想的なのは、頑健が低そうで、まだピンピンしているが、とにかく早く殺りたい強敵に使う事だが、</t>
    <rPh sb="0" eb="3">
      <t>リソウテキ</t>
    </rPh>
    <rPh sb="7" eb="9">
      <t>ガンケン</t>
    </rPh>
    <rPh sb="10" eb="11">
      <t>ヒク</t>
    </rPh>
    <rPh sb="31" eb="32">
      <t>ハヤ</t>
    </rPh>
    <rPh sb="33" eb="34">
      <t>コロ</t>
    </rPh>
    <rPh sb="37" eb="39">
      <t>キョウテキ</t>
    </rPh>
    <rPh sb="40" eb="41">
      <t>ツカ</t>
    </rPh>
    <rPh sb="42" eb="43">
      <t>コト</t>
    </rPh>
    <phoneticPr fontId="1"/>
  </si>
  <si>
    <t>下手なタイミングで撃つと　簡単にオーバーキルしかねない威力がある以上、</t>
    <rPh sb="0" eb="2">
      <t>ヘタ</t>
    </rPh>
    <rPh sb="9" eb="10">
      <t>ウ</t>
    </rPh>
    <rPh sb="13" eb="15">
      <t>カンタン</t>
    </rPh>
    <rPh sb="27" eb="29">
      <t>イリョク</t>
    </rPh>
    <rPh sb="32" eb="34">
      <t>イジョウ</t>
    </rPh>
    <phoneticPr fontId="1"/>
  </si>
  <si>
    <t>ＨＰが２００も無さそうな　無傷の制御役を狙うのがベストか？</t>
    <rPh sb="7" eb="8">
      <t>ナ</t>
    </rPh>
    <rPh sb="13" eb="15">
      <t>ムキズ</t>
    </rPh>
    <rPh sb="16" eb="18">
      <t>セイギョ</t>
    </rPh>
    <rPh sb="18" eb="19">
      <t>ヤク</t>
    </rPh>
    <rPh sb="20" eb="21">
      <t>ネラ</t>
    </rPh>
    <phoneticPr fontId="1"/>
  </si>
  <si>
    <t>①対頑健で　しかも遠近両用。</t>
    <rPh sb="1" eb="2">
      <t>タイ</t>
    </rPh>
    <rPh sb="2" eb="4">
      <t>ガンケン</t>
    </rPh>
    <rPh sb="9" eb="11">
      <t>エンキン</t>
    </rPh>
    <rPh sb="11" eb="13">
      <t>リョウヨウ</t>
    </rPh>
    <phoneticPr fontId="1"/>
  </si>
  <si>
    <t>ま、無限回のスライ･フラーリッシュでも充分過ぎる程のダメージが飛ぶのだから、</t>
    <rPh sb="2" eb="3">
      <t>ム</t>
    </rPh>
    <rPh sb="4" eb="5">
      <t>カイ</t>
    </rPh>
    <rPh sb="19" eb="21">
      <t>ジュウブン</t>
    </rPh>
    <rPh sb="21" eb="22">
      <t>ス</t>
    </rPh>
    <rPh sb="24" eb="25">
      <t>ホド</t>
    </rPh>
    <rPh sb="31" eb="32">
      <t>ト</t>
    </rPh>
    <phoneticPr fontId="1"/>
  </si>
  <si>
    <r>
      <t>以上の特徴から、手負いの敵へのトドメに使うのは明らかに</t>
    </r>
    <r>
      <rPr>
        <b/>
        <sz val="11"/>
        <color theme="1"/>
        <rFont val="HGP創英角ﾎﾟｯﾌﾟ体"/>
        <family val="3"/>
        <charset val="128"/>
      </rPr>
      <t>ＭＯＴTAINAI！</t>
    </r>
    <rPh sb="0" eb="2">
      <t>イジョウ</t>
    </rPh>
    <rPh sb="3" eb="5">
      <t>トクチョウ</t>
    </rPh>
    <rPh sb="8" eb="10">
      <t>テオ</t>
    </rPh>
    <rPh sb="12" eb="13">
      <t>テキ</t>
    </rPh>
    <rPh sb="19" eb="20">
      <t>ツカ</t>
    </rPh>
    <rPh sb="23" eb="24">
      <t>アキ</t>
    </rPh>
    <phoneticPr fontId="1"/>
  </si>
  <si>
    <t>急いで殺る必要の無い敵に、わざわざコレを使う必要は皆無って事で・・・。</t>
    <rPh sb="0" eb="1">
      <t>イソ</t>
    </rPh>
    <rPh sb="3" eb="4">
      <t>コロ</t>
    </rPh>
    <rPh sb="5" eb="7">
      <t>ヒツヨウ</t>
    </rPh>
    <rPh sb="8" eb="9">
      <t>ナ</t>
    </rPh>
    <rPh sb="10" eb="11">
      <t>テキ</t>
    </rPh>
    <rPh sb="20" eb="21">
      <t>ツカ</t>
    </rPh>
    <rPh sb="22" eb="24">
      <t>ヒツヨウ</t>
    </rPh>
    <rPh sb="25" eb="27">
      <t>カイム</t>
    </rPh>
    <rPh sb="29" eb="30">
      <t>コト</t>
    </rPh>
    <phoneticPr fontId="1"/>
  </si>
  <si>
    <r>
      <t>攻撃後のシフトは</t>
    </r>
    <r>
      <rPr>
        <b/>
        <sz val="14"/>
        <color rgb="FFFF0000"/>
        <rFont val="HGP創英角ﾎﾟｯﾌﾟ体"/>
        <family val="3"/>
        <charset val="128"/>
      </rPr>
      <t>ヒット時のみ</t>
    </r>
    <r>
      <rPr>
        <b/>
        <sz val="14"/>
        <color rgb="FF00B0F0"/>
        <rFont val="ＭＳ Ｐゴシック"/>
        <family val="3"/>
        <charset val="128"/>
        <scheme val="minor"/>
      </rPr>
      <t>！　ハズした時には</t>
    </r>
    <r>
      <rPr>
        <b/>
        <sz val="14"/>
        <color rgb="FFFF0000"/>
        <rFont val="HGP創英角ﾎﾟｯﾌﾟ体"/>
        <family val="3"/>
        <charset val="128"/>
      </rPr>
      <t>ＡＰ</t>
    </r>
    <r>
      <rPr>
        <b/>
        <sz val="14"/>
        <color rgb="FF00B0F0"/>
        <rFont val="ＭＳ Ｐゴシック"/>
        <family val="3"/>
        <charset val="128"/>
        <scheme val="minor"/>
      </rPr>
      <t>で</t>
    </r>
    <r>
      <rPr>
        <b/>
        <sz val="14"/>
        <color rgb="FFFF0000"/>
        <rFont val="HGP創英角ﾎﾟｯﾌﾟ体"/>
        <family val="3"/>
        <charset val="128"/>
      </rPr>
      <t>再ロール</t>
    </r>
    <r>
      <rPr>
        <b/>
        <sz val="14"/>
        <color rgb="FF00B0F0"/>
        <rFont val="ＭＳ Ｐゴシック"/>
        <family val="3"/>
        <charset val="128"/>
        <scheme val="minor"/>
      </rPr>
      <t>もアリ！</t>
    </r>
    <rPh sb="0" eb="2">
      <t>コウゲキ</t>
    </rPh>
    <rPh sb="2" eb="3">
      <t>ゴ</t>
    </rPh>
    <rPh sb="11" eb="12">
      <t>ジ</t>
    </rPh>
    <rPh sb="20" eb="21">
      <t>トキ</t>
    </rPh>
    <rPh sb="26" eb="27">
      <t>サイ</t>
    </rPh>
    <phoneticPr fontId="1"/>
  </si>
  <si>
    <t>⇒（マイナーで汎用使用後に）　標準アクションで待機！</t>
    <rPh sb="7" eb="9">
      <t>ハンヨウ</t>
    </rPh>
    <rPh sb="9" eb="11">
      <t>シヨウ</t>
    </rPh>
    <rPh sb="11" eb="12">
      <t>ゴ</t>
    </rPh>
    <rPh sb="15" eb="17">
      <t>ヒョウジュン</t>
    </rPh>
    <rPh sb="23" eb="25">
      <t>タイキ</t>
    </rPh>
    <phoneticPr fontId="1"/>
  </si>
  <si>
    <t>④遠投でスライ･フラーリッシュを撃つ位ならば、コッチで近付いてから撃った方が実戦的か？</t>
    <rPh sb="1" eb="3">
      <t>エントウ</t>
    </rPh>
    <rPh sb="16" eb="17">
      <t>ウ</t>
    </rPh>
    <rPh sb="18" eb="19">
      <t>クライ</t>
    </rPh>
    <rPh sb="27" eb="29">
      <t>チカヅ</t>
    </rPh>
    <rPh sb="33" eb="34">
      <t>ウ</t>
    </rPh>
    <rPh sb="36" eb="37">
      <t>ホウ</t>
    </rPh>
    <rPh sb="38" eb="41">
      <t>ジッセンテキ</t>
    </rPh>
    <phoneticPr fontId="1"/>
  </si>
  <si>
    <t>②移動距離が倍のデフト･ストライクのつもりで使う</t>
    <rPh sb="1" eb="3">
      <t>イドウ</t>
    </rPh>
    <rPh sb="3" eb="5">
      <t>キョリ</t>
    </rPh>
    <rPh sb="6" eb="7">
      <t>バイ</t>
    </rPh>
    <rPh sb="22" eb="23">
      <t>ツカ</t>
    </rPh>
    <phoneticPr fontId="1"/>
  </si>
  <si>
    <r>
      <t>　ヒット後の移動も含めると倍どころでは済まないが、</t>
    </r>
    <r>
      <rPr>
        <b/>
        <sz val="11"/>
        <color rgb="FFFF0000"/>
        <rFont val="ＭＳ Ｐゴシック"/>
        <family val="3"/>
        <charset val="128"/>
        <scheme val="minor"/>
      </rPr>
      <t>機会攻撃は誘発出来ない</t>
    </r>
    <r>
      <rPr>
        <sz val="11"/>
        <color theme="1"/>
        <rFont val="ＭＳ Ｐゴシック"/>
        <family val="2"/>
        <charset val="128"/>
        <scheme val="minor"/>
      </rPr>
      <t>事に注意！</t>
    </r>
    <rPh sb="4" eb="5">
      <t>ゴ</t>
    </rPh>
    <rPh sb="6" eb="8">
      <t>イドウ</t>
    </rPh>
    <rPh sb="9" eb="10">
      <t>フク</t>
    </rPh>
    <rPh sb="13" eb="14">
      <t>バイ</t>
    </rPh>
    <rPh sb="19" eb="20">
      <t>ス</t>
    </rPh>
    <rPh sb="25" eb="27">
      <t>キカイ</t>
    </rPh>
    <rPh sb="27" eb="29">
      <t>コウゲキ</t>
    </rPh>
    <rPh sb="30" eb="32">
      <t>ユウハツ</t>
    </rPh>
    <rPh sb="32" eb="34">
      <t>デキ</t>
    </rPh>
    <rPh sb="36" eb="37">
      <t>コト</t>
    </rPh>
    <rPh sb="38" eb="40">
      <t>チュウイ</t>
    </rPh>
    <phoneticPr fontId="1"/>
  </si>
  <si>
    <t>③デフト･ストライク同様、減速時でも効果が全く落ちない</t>
    <rPh sb="10" eb="12">
      <t>ドウヨウ</t>
    </rPh>
    <rPh sb="13" eb="15">
      <t>ゲンソク</t>
    </rPh>
    <rPh sb="15" eb="16">
      <t>ジ</t>
    </rPh>
    <rPh sb="18" eb="20">
      <t>コウカ</t>
    </rPh>
    <rPh sb="21" eb="22">
      <t>マッタ</t>
    </rPh>
    <rPh sb="23" eb="24">
      <t>オ</t>
    </rPh>
    <phoneticPr fontId="1"/>
  </si>
  <si>
    <t>②近接攻撃である！</t>
    <rPh sb="1" eb="3">
      <t>キンセツ</t>
    </rPh>
    <rPh sb="3" eb="5">
      <t>コウゲキ</t>
    </rPh>
    <phoneticPr fontId="1"/>
  </si>
  <si>
    <t>①マイナーアクションが必要！</t>
    <rPh sb="11" eb="13">
      <t>ヒツヨウ</t>
    </rPh>
    <phoneticPr fontId="1"/>
  </si>
  <si>
    <t>③猶予が　たった１ターンのみ！</t>
    <rPh sb="1" eb="3">
      <t>ユウヨ</t>
    </rPh>
    <phoneticPr fontId="1"/>
  </si>
  <si>
    <t>④クリティカルを与えた相手に対してのみ！</t>
    <rPh sb="8" eb="9">
      <t>アタ</t>
    </rPh>
    <rPh sb="11" eb="13">
      <t>アイテ</t>
    </rPh>
    <rPh sb="14" eb="15">
      <t>タイ</t>
    </rPh>
    <phoneticPr fontId="1"/>
  </si>
  <si>
    <r>
      <t>⇒遠隔攻撃からだと</t>
    </r>
    <r>
      <rPr>
        <b/>
        <sz val="11"/>
        <color rgb="FFFF0000"/>
        <rFont val="ＭＳ Ｐゴシック"/>
        <family val="3"/>
        <charset val="128"/>
        <scheme val="minor"/>
      </rPr>
      <t>移動アクションまで要求</t>
    </r>
    <r>
      <rPr>
        <sz val="11"/>
        <color theme="1"/>
        <rFont val="ＭＳ Ｐゴシック"/>
        <family val="2"/>
        <charset val="128"/>
        <scheme val="minor"/>
      </rPr>
      <t>される。</t>
    </r>
    <rPh sb="1" eb="3">
      <t>エンカク</t>
    </rPh>
    <rPh sb="3" eb="5">
      <t>コウゲキ</t>
    </rPh>
    <rPh sb="9" eb="11">
      <t>イドウ</t>
    </rPh>
    <rPh sb="18" eb="20">
      <t>ヨウキュウ</t>
    </rPh>
    <phoneticPr fontId="1"/>
  </si>
  <si>
    <r>
      <t>⇒アクションを</t>
    </r>
    <r>
      <rPr>
        <b/>
        <sz val="11"/>
        <color rgb="FFFF0000"/>
        <rFont val="ＭＳ Ｐゴシック"/>
        <family val="3"/>
        <charset val="128"/>
        <scheme val="minor"/>
      </rPr>
      <t>意図的に節約</t>
    </r>
    <r>
      <rPr>
        <sz val="11"/>
        <color theme="1"/>
        <rFont val="ＭＳ Ｐゴシック"/>
        <family val="2"/>
        <charset val="128"/>
        <scheme val="minor"/>
      </rPr>
      <t>しないと狙いにくい。</t>
    </r>
    <rPh sb="7" eb="10">
      <t>イトテキ</t>
    </rPh>
    <rPh sb="11" eb="13">
      <t>セツヤク</t>
    </rPh>
    <rPh sb="17" eb="18">
      <t>ネラ</t>
    </rPh>
    <phoneticPr fontId="1"/>
  </si>
  <si>
    <t>⇒他人のターンにクリティカルを何回出しても無理。</t>
    <rPh sb="1" eb="3">
      <t>タニン</t>
    </rPh>
    <rPh sb="15" eb="17">
      <t>ナンカイ</t>
    </rPh>
    <rPh sb="17" eb="18">
      <t>デ</t>
    </rPh>
    <rPh sb="21" eb="23">
      <t>ムリ</t>
    </rPh>
    <phoneticPr fontId="1"/>
  </si>
  <si>
    <t>⇒クリティカルでトドメを刺しちゃっただけで　もう無理。</t>
    <rPh sb="12" eb="13">
      <t>サ</t>
    </rPh>
    <rPh sb="24" eb="26">
      <t>ムリ</t>
    </rPh>
    <phoneticPr fontId="1"/>
  </si>
  <si>
    <t>⑤普通は急所攻撃が成立しない！</t>
    <rPh sb="1" eb="3">
      <t>フツウ</t>
    </rPh>
    <rPh sb="4" eb="6">
      <t>キュウショ</t>
    </rPh>
    <rPh sb="6" eb="8">
      <t>コウゲキ</t>
    </rPh>
    <rPh sb="9" eb="11">
      <t>セイリツ</t>
    </rPh>
    <phoneticPr fontId="1"/>
  </si>
  <si>
    <t>⇒レベル１６以降ならば、成立する事もあり得るが・・・。</t>
    <rPh sb="6" eb="8">
      <t>イコウ</t>
    </rPh>
    <rPh sb="12" eb="14">
      <t>セイリツ</t>
    </rPh>
    <rPh sb="16" eb="17">
      <t>コト</t>
    </rPh>
    <rPh sb="20" eb="21">
      <t>ウ</t>
    </rPh>
    <phoneticPr fontId="1"/>
  </si>
  <si>
    <r>
      <t>⇒すぐに</t>
    </r>
    <r>
      <rPr>
        <b/>
        <i/>
        <sz val="11"/>
        <color rgb="FFFF0000"/>
        <rFont val="ＭＳ Ｐゴシック"/>
        <family val="3"/>
        <charset val="128"/>
        <scheme val="minor"/>
      </rPr>
      <t>クリリン</t>
    </r>
    <r>
      <rPr>
        <sz val="11"/>
        <color theme="1"/>
        <rFont val="ＭＳ Ｐゴシック"/>
        <family val="2"/>
        <charset val="128"/>
        <scheme val="minor"/>
      </rPr>
      <t>を叩き込んでから、待機！</t>
    </r>
    <rPh sb="9" eb="10">
      <t>タタ</t>
    </rPh>
    <rPh sb="11" eb="12">
      <t>コ</t>
    </rPh>
    <rPh sb="17" eb="19">
      <t>タイキ</t>
    </rPh>
    <phoneticPr fontId="1"/>
  </si>
  <si>
    <r>
      <t>必殺パターン！　</t>
    </r>
    <r>
      <rPr>
        <b/>
        <sz val="14"/>
        <color theme="3" tint="0.39997558519241921"/>
        <rFont val="HGP創英角ﾎﾟｯﾌﾟ体"/>
        <family val="3"/>
        <charset val="128"/>
      </rPr>
      <t>挟撃最大４連発？</t>
    </r>
    <r>
      <rPr>
        <b/>
        <sz val="14"/>
        <color theme="3" tint="0.39997558519241921"/>
        <rFont val="HGPｺﾞｼｯｸE"/>
        <family val="3"/>
        <charset val="128"/>
      </rPr>
      <t>　</t>
    </r>
    <r>
      <rPr>
        <b/>
        <sz val="11"/>
        <color theme="7" tint="-0.499984740745262"/>
        <rFont val="HGPｺﾞｼｯｸE"/>
        <family val="3"/>
        <charset val="128"/>
      </rPr>
      <t>ま、大概は２連発止まり・・・</t>
    </r>
    <rPh sb="0" eb="2">
      <t>ヒッサツ</t>
    </rPh>
    <rPh sb="8" eb="10">
      <t>キョウゲキ</t>
    </rPh>
    <rPh sb="10" eb="12">
      <t>サイダイ</t>
    </rPh>
    <rPh sb="13" eb="15">
      <t>レンパツ</t>
    </rPh>
    <rPh sb="19" eb="21">
      <t>タイガイ</t>
    </rPh>
    <rPh sb="23" eb="25">
      <t>レンパツ</t>
    </rPh>
    <rPh sb="25" eb="26">
      <t>ト</t>
    </rPh>
    <phoneticPr fontId="1"/>
  </si>
  <si>
    <r>
      <t>　そして、もしクリティカルが出たら、すぐに</t>
    </r>
    <r>
      <rPr>
        <b/>
        <i/>
        <sz val="11"/>
        <color rgb="FFFF0000"/>
        <rFont val="ＭＳ Ｐゴシック"/>
        <family val="3"/>
        <charset val="128"/>
        <scheme val="minor"/>
      </rPr>
      <t>クリリン</t>
    </r>
    <r>
      <rPr>
        <b/>
        <sz val="11"/>
        <color rgb="FFFF0000"/>
        <rFont val="ＭＳ Ｐゴシック"/>
        <family val="3"/>
        <charset val="128"/>
        <scheme val="minor"/>
      </rPr>
      <t>！</t>
    </r>
    <rPh sb="14" eb="15">
      <t>デ</t>
    </rPh>
    <phoneticPr fontId="1"/>
  </si>
  <si>
    <t>　（またハズれたらＡＰで　もう一丁スライ･フラーリッシュ？）</t>
    <rPh sb="15" eb="17">
      <t>イッチョウ</t>
    </rPh>
    <phoneticPr fontId="1"/>
  </si>
  <si>
    <r>
      <t>①複雑な地形で使って、</t>
    </r>
    <r>
      <rPr>
        <b/>
        <sz val="11"/>
        <color rgb="FFFF0000"/>
        <rFont val="HGP創英角ﾎﾟｯﾌﾟ体"/>
        <family val="3"/>
        <charset val="128"/>
      </rPr>
      <t>自力で</t>
    </r>
    <r>
      <rPr>
        <b/>
        <sz val="11"/>
        <color theme="3" tint="-0.249977111117893"/>
        <rFont val="ＭＳ Ｐゴシック"/>
        <family val="3"/>
        <charset val="128"/>
        <scheme val="minor"/>
      </rPr>
      <t>急所攻撃を狙う</t>
    </r>
    <rPh sb="1" eb="3">
      <t>フクザツ</t>
    </rPh>
    <rPh sb="4" eb="6">
      <t>チケイ</t>
    </rPh>
    <rPh sb="7" eb="8">
      <t>ツカ</t>
    </rPh>
    <rPh sb="11" eb="13">
      <t>ジリキ</t>
    </rPh>
    <rPh sb="14" eb="16">
      <t>キュウショ</t>
    </rPh>
    <rPh sb="16" eb="18">
      <t>コウゲキ</t>
    </rPh>
    <rPh sb="19" eb="20">
      <t>ネラ</t>
    </rPh>
    <phoneticPr fontId="1"/>
  </si>
  <si>
    <r>
      <t>　リチャード達が挟撃を取りにくい状況でこそ狙い目なので</t>
    </r>
    <r>
      <rPr>
        <sz val="11"/>
        <color rgb="FFFF0000"/>
        <rFont val="HGPｺﾞｼｯｸE"/>
        <family val="3"/>
        <charset val="128"/>
      </rPr>
      <t>◎</t>
    </r>
    <r>
      <rPr>
        <sz val="11"/>
        <color theme="1"/>
        <rFont val="ＭＳ Ｐゴシック"/>
        <family val="2"/>
        <charset val="128"/>
        <scheme val="minor"/>
      </rPr>
      <t>！</t>
    </r>
    <rPh sb="6" eb="7">
      <t>タチ</t>
    </rPh>
    <rPh sb="8" eb="10">
      <t>キョウゲキ</t>
    </rPh>
    <rPh sb="11" eb="12">
      <t>ト</t>
    </rPh>
    <rPh sb="16" eb="18">
      <t>ジョウキョウ</t>
    </rPh>
    <rPh sb="21" eb="22">
      <t>ネラ</t>
    </rPh>
    <rPh sb="23" eb="24">
      <t>メ</t>
    </rPh>
    <phoneticPr fontId="1"/>
  </si>
  <si>
    <t>　伏せや移動困難等を除き　ほとんど弱点らしい弱点が無い・・・。　状態異常時の要！</t>
    <rPh sb="1" eb="2">
      <t>フ</t>
    </rPh>
    <rPh sb="4" eb="6">
      <t>イドウ</t>
    </rPh>
    <rPh sb="6" eb="8">
      <t>コンナン</t>
    </rPh>
    <rPh sb="8" eb="9">
      <t>トウ</t>
    </rPh>
    <rPh sb="10" eb="11">
      <t>ノゾ</t>
    </rPh>
    <rPh sb="17" eb="19">
      <t>ジャクテン</t>
    </rPh>
    <rPh sb="22" eb="24">
      <t>ジャクテン</t>
    </rPh>
    <rPh sb="25" eb="26">
      <t>ナ</t>
    </rPh>
    <rPh sb="32" eb="34">
      <t>ジョウタイ</t>
    </rPh>
    <rPh sb="34" eb="36">
      <t>イジョウ</t>
    </rPh>
    <rPh sb="36" eb="37">
      <t>ジ</t>
    </rPh>
    <rPh sb="38" eb="39">
      <t>カナメ</t>
    </rPh>
    <phoneticPr fontId="1"/>
  </si>
  <si>
    <r>
      <t>④もし遭遇終盤に　コレと</t>
    </r>
    <r>
      <rPr>
        <b/>
        <i/>
        <sz val="11"/>
        <color rgb="FFFF0000"/>
        <rFont val="ＭＳ Ｐゴシック"/>
        <family val="3"/>
        <charset val="128"/>
        <scheme val="minor"/>
      </rPr>
      <t>クリリン</t>
    </r>
    <r>
      <rPr>
        <b/>
        <sz val="11"/>
        <color theme="3" tint="-0.249977111117893"/>
        <rFont val="ＭＳ Ｐゴシック"/>
        <family val="3"/>
        <charset val="128"/>
        <scheme val="minor"/>
      </rPr>
      <t>の両方が余っていたら・・・</t>
    </r>
    <rPh sb="3" eb="5">
      <t>ソウグウ</t>
    </rPh>
    <rPh sb="5" eb="7">
      <t>シュウバン</t>
    </rPh>
    <rPh sb="17" eb="19">
      <t>リョウホウ</t>
    </rPh>
    <rPh sb="20" eb="21">
      <t>アマ</t>
    </rPh>
    <phoneticPr fontId="1"/>
  </si>
  <si>
    <r>
      <t>　しかし、コレならば</t>
    </r>
    <r>
      <rPr>
        <b/>
        <sz val="11"/>
        <color rgb="FFFF0000"/>
        <rFont val="ＭＳ Ｐゴシック"/>
        <family val="3"/>
        <charset val="128"/>
        <scheme val="minor"/>
      </rPr>
      <t>ヒットを確認後にノーアクションで接近</t>
    </r>
    <r>
      <rPr>
        <sz val="11"/>
        <color theme="1"/>
        <rFont val="ＭＳ Ｐゴシック"/>
        <family val="2"/>
        <charset val="128"/>
        <scheme val="minor"/>
      </rPr>
      <t>できるので　</t>
    </r>
    <r>
      <rPr>
        <b/>
        <i/>
        <sz val="11"/>
        <color rgb="FFFF0000"/>
        <rFont val="ＭＳ Ｐゴシック"/>
        <family val="3"/>
        <charset val="128"/>
        <scheme val="minor"/>
      </rPr>
      <t>クリリン</t>
    </r>
    <r>
      <rPr>
        <sz val="11"/>
        <rFont val="ＭＳ Ｐゴシック"/>
        <family val="3"/>
        <charset val="128"/>
        <scheme val="minor"/>
      </rPr>
      <t>までキッチリ狙える。</t>
    </r>
    <rPh sb="14" eb="16">
      <t>カクニン</t>
    </rPh>
    <rPh sb="16" eb="17">
      <t>ゴ</t>
    </rPh>
    <rPh sb="26" eb="28">
      <t>セッキン</t>
    </rPh>
    <rPh sb="44" eb="45">
      <t>ネラ</t>
    </rPh>
    <phoneticPr fontId="1"/>
  </si>
  <si>
    <t>近接パワーからのクリリン</t>
    <rPh sb="0" eb="2">
      <t>キンセツ</t>
    </rPh>
    <phoneticPr fontId="1"/>
  </si>
  <si>
    <t>クリティカルしなかったのを確認できたら、汎用パワーなど他のマイナーアクションを狙いたい。</t>
    <rPh sb="13" eb="15">
      <t>カクニン</t>
    </rPh>
    <rPh sb="20" eb="22">
      <t>ハンヨウ</t>
    </rPh>
    <rPh sb="27" eb="28">
      <t>ホカ</t>
    </rPh>
    <rPh sb="39" eb="40">
      <t>ネラ</t>
    </rPh>
    <phoneticPr fontId="1"/>
  </si>
  <si>
    <t>遠隔パワーからのクリリン</t>
    <rPh sb="0" eb="2">
      <t>エンカク</t>
    </rPh>
    <phoneticPr fontId="1"/>
  </si>
  <si>
    <t>ってな訳で、以上のように欠点の総合商社のような性能ではある(苦笑)。</t>
    <rPh sb="3" eb="4">
      <t>ワケ</t>
    </rPh>
    <rPh sb="6" eb="8">
      <t>イジョウ</t>
    </rPh>
    <rPh sb="12" eb="14">
      <t>ケッテン</t>
    </rPh>
    <rPh sb="15" eb="17">
      <t>ソウゴウ</t>
    </rPh>
    <rPh sb="17" eb="19">
      <t>ショウシャ</t>
    </rPh>
    <rPh sb="23" eb="25">
      <t>セイノウ</t>
    </rPh>
    <rPh sb="30" eb="32">
      <t>ニガワラ</t>
    </rPh>
    <phoneticPr fontId="1"/>
  </si>
  <si>
    <t>マイナーか移動か　どちらか片方のアクションさえ残っていれば　自然に狙えるので、最も実戦的。</t>
    <rPh sb="5" eb="7">
      <t>イドウ</t>
    </rPh>
    <rPh sb="13" eb="15">
      <t>カタホウ</t>
    </rPh>
    <rPh sb="23" eb="24">
      <t>ノコ</t>
    </rPh>
    <rPh sb="30" eb="32">
      <t>シゼン</t>
    </rPh>
    <rPh sb="33" eb="34">
      <t>ネラ</t>
    </rPh>
    <rPh sb="39" eb="40">
      <t>モット</t>
    </rPh>
    <rPh sb="41" eb="44">
      <t>ジッセンテキ</t>
    </rPh>
    <phoneticPr fontId="1"/>
  </si>
  <si>
    <r>
      <t>つまり、クリリンを狙う　ただそれだけの為に　</t>
    </r>
    <r>
      <rPr>
        <b/>
        <sz val="11"/>
        <color rgb="FFFF0000"/>
        <rFont val="HGP創英角ﾎﾟｯﾌﾟ体"/>
        <family val="3"/>
        <charset val="128"/>
      </rPr>
      <t>１ターン中の全てのアクションが要求される事になる！</t>
    </r>
    <rPh sb="9" eb="10">
      <t>ネラ</t>
    </rPh>
    <rPh sb="19" eb="20">
      <t>タメ</t>
    </rPh>
    <rPh sb="26" eb="27">
      <t>チュウ</t>
    </rPh>
    <rPh sb="28" eb="29">
      <t>スベ</t>
    </rPh>
    <rPh sb="37" eb="39">
      <t>ヨウキュウ</t>
    </rPh>
    <rPh sb="42" eb="43">
      <t>コト</t>
    </rPh>
    <phoneticPr fontId="1"/>
  </si>
  <si>
    <t>遠隔パワーから本気で狙うには、非常に繊細な残りアクションの管理が要求されるので覚悟が必要！</t>
    <rPh sb="0" eb="2">
      <t>エンカク</t>
    </rPh>
    <rPh sb="7" eb="9">
      <t>ホンキ</t>
    </rPh>
    <rPh sb="10" eb="11">
      <t>ネラ</t>
    </rPh>
    <rPh sb="15" eb="17">
      <t>ヒジョウ</t>
    </rPh>
    <rPh sb="18" eb="20">
      <t>センサイ</t>
    </rPh>
    <rPh sb="21" eb="22">
      <t>ノコ</t>
    </rPh>
    <rPh sb="29" eb="31">
      <t>カンリ</t>
    </rPh>
    <rPh sb="32" eb="34">
      <t>ヨウキュウ</t>
    </rPh>
    <rPh sb="39" eb="41">
      <t>カクゴ</t>
    </rPh>
    <rPh sb="42" eb="44">
      <t>ヒツヨウ</t>
    </rPh>
    <phoneticPr fontId="1"/>
  </si>
  <si>
    <r>
      <t>クリティカルを確認してから</t>
    </r>
    <r>
      <rPr>
        <b/>
        <sz val="11"/>
        <color rgb="FFFF0000"/>
        <rFont val="ＭＳ Ｐゴシック"/>
        <family val="3"/>
        <charset val="128"/>
        <scheme val="minor"/>
      </rPr>
      <t>移動アクション</t>
    </r>
    <r>
      <rPr>
        <sz val="11"/>
        <color theme="1"/>
        <rFont val="ＭＳ Ｐゴシック"/>
        <family val="2"/>
        <charset val="128"/>
        <scheme val="minor"/>
      </rPr>
      <t>で近付いて更に</t>
    </r>
    <r>
      <rPr>
        <b/>
        <sz val="11"/>
        <color rgb="FFFF0000"/>
        <rFont val="ＭＳ Ｐゴシック"/>
        <family val="3"/>
        <charset val="128"/>
        <scheme val="minor"/>
      </rPr>
      <t>マイナーアクション</t>
    </r>
    <r>
      <rPr>
        <sz val="11"/>
        <color theme="1"/>
        <rFont val="ＭＳ Ｐゴシック"/>
        <family val="2"/>
        <charset val="128"/>
        <scheme val="minor"/>
      </rPr>
      <t>で攻撃しなければならない。</t>
    </r>
    <rPh sb="7" eb="9">
      <t>カクニン</t>
    </rPh>
    <rPh sb="13" eb="15">
      <t>イドウ</t>
    </rPh>
    <rPh sb="21" eb="23">
      <t>チカヅ</t>
    </rPh>
    <rPh sb="25" eb="26">
      <t>サラ</t>
    </rPh>
    <rPh sb="37" eb="39">
      <t>コウゲキ</t>
    </rPh>
    <phoneticPr fontId="1"/>
  </si>
  <si>
    <r>
      <t>自分のターンに</t>
    </r>
    <r>
      <rPr>
        <b/>
        <sz val="11"/>
        <color rgb="FFFF0000"/>
        <rFont val="ＭＳ Ｐゴシック"/>
        <family val="3"/>
        <charset val="128"/>
        <scheme val="minor"/>
      </rPr>
      <t>まずいきなり遠隔パワーを撃てないと絶対に狙うの無理！</t>
    </r>
    <r>
      <rPr>
        <sz val="11"/>
        <rFont val="ＭＳ Ｐゴシック"/>
        <family val="3"/>
        <charset val="128"/>
        <scheme val="minor"/>
      </rPr>
      <t>とシンプルに覚えておきたい。</t>
    </r>
    <rPh sb="0" eb="2">
      <t>ジブン</t>
    </rPh>
    <rPh sb="13" eb="15">
      <t>エンカク</t>
    </rPh>
    <rPh sb="19" eb="20">
      <t>ウ</t>
    </rPh>
    <rPh sb="24" eb="26">
      <t>ゼッタイ</t>
    </rPh>
    <rPh sb="27" eb="28">
      <t>ネラ</t>
    </rPh>
    <rPh sb="30" eb="32">
      <t>ムリ</t>
    </rPh>
    <rPh sb="39" eb="40">
      <t>オボ</t>
    </rPh>
    <phoneticPr fontId="1"/>
  </si>
  <si>
    <r>
      <t>しかし、遠近両用の</t>
    </r>
    <r>
      <rPr>
        <b/>
        <sz val="11"/>
        <color rgb="FFFF0000"/>
        <rFont val="ＭＳ Ｐゴシック"/>
        <family val="3"/>
        <charset val="128"/>
        <scheme val="minor"/>
      </rPr>
      <t>遭遇毎パワー</t>
    </r>
    <r>
      <rPr>
        <sz val="11"/>
        <color theme="1"/>
        <rFont val="ＭＳ Ｐゴシック"/>
        <family val="2"/>
        <charset val="128"/>
        <scheme val="minor"/>
      </rPr>
      <t>からならば</t>
    </r>
    <r>
      <rPr>
        <b/>
        <sz val="11"/>
        <color rgb="FFFF0000"/>
        <rFont val="ＭＳ Ｐゴシック"/>
        <family val="3"/>
        <charset val="128"/>
        <scheme val="minor"/>
      </rPr>
      <t>近接パワーからに近い感覚で自然に狙える</t>
    </r>
    <r>
      <rPr>
        <sz val="11"/>
        <color theme="1"/>
        <rFont val="ＭＳ Ｐゴシック"/>
        <family val="2"/>
        <charset val="128"/>
        <scheme val="minor"/>
      </rPr>
      <t>ので諦めるな！</t>
    </r>
    <rPh sb="4" eb="6">
      <t>エンキン</t>
    </rPh>
    <rPh sb="6" eb="8">
      <t>リョウヨウ</t>
    </rPh>
    <rPh sb="9" eb="11">
      <t>ソウグウ</t>
    </rPh>
    <rPh sb="11" eb="12">
      <t>マイ</t>
    </rPh>
    <rPh sb="20" eb="22">
      <t>キンセツ</t>
    </rPh>
    <rPh sb="28" eb="29">
      <t>チカ</t>
    </rPh>
    <rPh sb="30" eb="32">
      <t>カンカク</t>
    </rPh>
    <rPh sb="33" eb="35">
      <t>シゼン</t>
    </rPh>
    <rPh sb="36" eb="37">
      <t>ネラ</t>
    </rPh>
    <rPh sb="41" eb="42">
      <t>アキラ</t>
    </rPh>
    <phoneticPr fontId="1"/>
  </si>
  <si>
    <t>あと当然、クリティカルしなかったのを確認できたら、移動もまだ残っているし　ギャンブルなどを狙いたい。</t>
    <rPh sb="2" eb="4">
      <t>トウゼン</t>
    </rPh>
    <rPh sb="18" eb="20">
      <t>カクニン</t>
    </rPh>
    <rPh sb="25" eb="27">
      <t>イドウ</t>
    </rPh>
    <rPh sb="30" eb="31">
      <t>ノコ</t>
    </rPh>
    <rPh sb="45" eb="46">
      <t>ネラ</t>
    </rPh>
    <phoneticPr fontId="1"/>
  </si>
  <si>
    <r>
      <t>　移動かマイナーを１つでも消費した後では、</t>
    </r>
    <r>
      <rPr>
        <b/>
        <sz val="11"/>
        <color rgb="FFFF0000"/>
        <rFont val="ＭＳ Ｐゴシック"/>
        <family val="3"/>
        <charset val="128"/>
        <scheme val="minor"/>
      </rPr>
      <t>遠隔攻撃</t>
    </r>
    <r>
      <rPr>
        <sz val="11"/>
        <color theme="1"/>
        <rFont val="ＭＳ Ｐゴシック"/>
        <family val="2"/>
        <charset val="128"/>
        <scheme val="minor"/>
      </rPr>
      <t>でクリティカルを出しても普通は</t>
    </r>
    <r>
      <rPr>
        <b/>
        <i/>
        <sz val="11"/>
        <color rgb="FFFF0000"/>
        <rFont val="ＭＳ Ｐゴシック"/>
        <family val="3"/>
        <charset val="128"/>
        <scheme val="minor"/>
      </rPr>
      <t>クリリン</t>
    </r>
    <r>
      <rPr>
        <b/>
        <sz val="11"/>
        <color rgb="FFFF0000"/>
        <rFont val="ＭＳ Ｐゴシック"/>
        <family val="3"/>
        <charset val="128"/>
        <scheme val="minor"/>
      </rPr>
      <t>不可能</t>
    </r>
    <r>
      <rPr>
        <sz val="11"/>
        <color theme="1"/>
        <rFont val="ＭＳ Ｐゴシック"/>
        <family val="2"/>
        <charset val="128"/>
        <scheme val="minor"/>
      </rPr>
      <t>！</t>
    </r>
    <rPh sb="1" eb="3">
      <t>イドウ</t>
    </rPh>
    <rPh sb="13" eb="15">
      <t>ショウヒ</t>
    </rPh>
    <rPh sb="17" eb="18">
      <t>アト</t>
    </rPh>
    <rPh sb="21" eb="23">
      <t>エンカク</t>
    </rPh>
    <rPh sb="23" eb="25">
      <t>コウゲキ</t>
    </rPh>
    <rPh sb="33" eb="34">
      <t>ダ</t>
    </rPh>
    <rPh sb="37" eb="39">
      <t>フツウ</t>
    </rPh>
    <rPh sb="44" eb="47">
      <t>フカノウ</t>
    </rPh>
    <phoneticPr fontId="1"/>
  </si>
  <si>
    <r>
      <t>④こうすればトーネード・ストライクの間合い内ならば　</t>
    </r>
    <r>
      <rPr>
        <b/>
        <sz val="11"/>
        <color rgb="FFFF0000"/>
        <rFont val="ＭＳ Ｐゴシック"/>
        <family val="3"/>
        <charset val="128"/>
        <scheme val="minor"/>
      </rPr>
      <t>ほとんどの位置から</t>
    </r>
    <r>
      <rPr>
        <b/>
        <i/>
        <sz val="11"/>
        <color rgb="FFFF0000"/>
        <rFont val="ＭＳ Ｐゴシック"/>
        <family val="3"/>
        <charset val="128"/>
        <scheme val="minor"/>
      </rPr>
      <t>クリリン</t>
    </r>
    <r>
      <rPr>
        <b/>
        <sz val="11"/>
        <color rgb="FFFF0000"/>
        <rFont val="ＭＳ Ｐゴシック"/>
        <family val="3"/>
        <charset val="128"/>
        <scheme val="minor"/>
      </rPr>
      <t>が狙える！　</t>
    </r>
    <rPh sb="18" eb="20">
      <t>マア</t>
    </rPh>
    <rPh sb="21" eb="22">
      <t>ナイ</t>
    </rPh>
    <rPh sb="31" eb="33">
      <t>イチ</t>
    </rPh>
    <rPh sb="40" eb="41">
      <t>ネラ</t>
    </rPh>
    <phoneticPr fontId="1"/>
  </si>
  <si>
    <t>②ダイア・レイディアンスがヒットしたのを確認したら　遅延を解除して待機！</t>
    <rPh sb="20" eb="22">
      <t>カクニン</t>
    </rPh>
    <rPh sb="26" eb="28">
      <t>チエン</t>
    </rPh>
    <rPh sb="29" eb="31">
      <t>カイジョ</t>
    </rPh>
    <rPh sb="33" eb="35">
      <t>タイキ</t>
    </rPh>
    <phoneticPr fontId="1"/>
  </si>
  <si>
    <t>③ダイア・レイディアンスがヒットした敵のターンに待機トーネードで割り込む！</t>
    <rPh sb="18" eb="19">
      <t>テキ</t>
    </rPh>
    <rPh sb="24" eb="26">
      <t>タイキ</t>
    </rPh>
    <rPh sb="32" eb="33">
      <t>ワ</t>
    </rPh>
    <rPh sb="34" eb="35">
      <t>コ</t>
    </rPh>
    <phoneticPr fontId="1"/>
  </si>
  <si>
    <t>①遭遇毎を使い切ったミカがダイア・レイディアンスを撃ち出したら、要警戒！</t>
    <rPh sb="1" eb="3">
      <t>ソウグウ</t>
    </rPh>
    <rPh sb="3" eb="4">
      <t>マイ</t>
    </rPh>
    <rPh sb="5" eb="6">
      <t>ツカ</t>
    </rPh>
    <rPh sb="7" eb="8">
      <t>キ</t>
    </rPh>
    <rPh sb="25" eb="26">
      <t>ウ</t>
    </rPh>
    <rPh sb="27" eb="28">
      <t>ダ</t>
    </rPh>
    <rPh sb="32" eb="33">
      <t>ヨウ</t>
    </rPh>
    <rPh sb="33" eb="35">
      <t>ケイカイ</t>
    </rPh>
    <phoneticPr fontId="1"/>
  </si>
  <si>
    <t>　遅延を駆使して　ハルトのターンがミカのターンの後に来るよう微調整する。</t>
    <rPh sb="1" eb="3">
      <t>チエン</t>
    </rPh>
    <rPh sb="4" eb="6">
      <t>クシ</t>
    </rPh>
    <rPh sb="24" eb="25">
      <t>アト</t>
    </rPh>
    <rPh sb="26" eb="27">
      <t>ク</t>
    </rPh>
    <rPh sb="30" eb="33">
      <t>ビチョウセイ</t>
    </rPh>
    <phoneticPr fontId="1"/>
  </si>
  <si>
    <t>④トーネードがヒットしたら　ミカの方向へ横滑りさせて、　見事おまけ発動！　やったね！</t>
    <rPh sb="17" eb="19">
      <t>ホウコウ</t>
    </rPh>
    <rPh sb="20" eb="22">
      <t>ヨコスベ</t>
    </rPh>
    <rPh sb="28" eb="30">
      <t>ミゴト</t>
    </rPh>
    <rPh sb="33" eb="35">
      <t>ハツドウ</t>
    </rPh>
    <phoneticPr fontId="1"/>
  </si>
  <si>
    <t>　ま、こんな事わざわざ狙う為だけに　トーネードを温存する必要は皆無なんだけどね・・・。</t>
    <rPh sb="6" eb="7">
      <t>コト</t>
    </rPh>
    <rPh sb="11" eb="12">
      <t>ネラ</t>
    </rPh>
    <rPh sb="13" eb="14">
      <t>タメ</t>
    </rPh>
    <rPh sb="24" eb="26">
      <t>オンゾン</t>
    </rPh>
    <rPh sb="28" eb="30">
      <t>ヒツヨウ</t>
    </rPh>
    <rPh sb="31" eb="33">
      <t>カイム</t>
    </rPh>
    <phoneticPr fontId="1"/>
  </si>
  <si>
    <t>　とりあえずは他のＰＣのパワーと比較しても　最も実戦的なパターンではある。</t>
    <rPh sb="7" eb="8">
      <t>ホカ</t>
    </rPh>
    <rPh sb="16" eb="18">
      <t>ヒカク</t>
    </rPh>
    <rPh sb="22" eb="23">
      <t>モット</t>
    </rPh>
    <rPh sb="24" eb="27">
      <t>ジッセンテキ</t>
    </rPh>
    <phoneticPr fontId="1"/>
  </si>
  <si>
    <t>このパターン以外に効果的に使う事はハルトの性質上、不可能だろう。</t>
    <rPh sb="6" eb="8">
      <t>イガイ</t>
    </rPh>
    <rPh sb="9" eb="12">
      <t>コウカテキ</t>
    </rPh>
    <rPh sb="13" eb="14">
      <t>ツカ</t>
    </rPh>
    <rPh sb="15" eb="16">
      <t>コト</t>
    </rPh>
    <rPh sb="21" eb="24">
      <t>セイシツジョウ</t>
    </rPh>
    <rPh sb="23" eb="24">
      <t>ジョウ</t>
    </rPh>
    <rPh sb="25" eb="28">
      <t>フカノウ</t>
    </rPh>
    <phoneticPr fontId="1"/>
  </si>
  <si>
    <r>
      <rPr>
        <i/>
        <sz val="11"/>
        <color rgb="FFFF0000"/>
        <rFont val="ＭＳ Ｐゴシック"/>
        <family val="3"/>
        <charset val="128"/>
        <scheme val="minor"/>
      </rPr>
      <t>クリリン</t>
    </r>
    <r>
      <rPr>
        <sz val="11"/>
        <color theme="1"/>
        <rFont val="ＭＳ Ｐゴシック"/>
        <family val="2"/>
        <charset val="128"/>
        <scheme val="minor"/>
      </rPr>
      <t>用に取っておいたマイナーアクションが残念ながら余った時こそ狙い目！</t>
    </r>
    <rPh sb="4" eb="5">
      <t>ヨウ</t>
    </rPh>
    <rPh sb="6" eb="7">
      <t>ト</t>
    </rPh>
    <rPh sb="22" eb="24">
      <t>ザンネン</t>
    </rPh>
    <rPh sb="27" eb="28">
      <t>アマ</t>
    </rPh>
    <rPh sb="30" eb="31">
      <t>トキ</t>
    </rPh>
    <rPh sb="33" eb="34">
      <t>ネラ</t>
    </rPh>
    <rPh sb="35" eb="36">
      <t>メ</t>
    </rPh>
    <phoneticPr fontId="1"/>
  </si>
  <si>
    <r>
      <t>目指せ！　</t>
    </r>
    <r>
      <rPr>
        <b/>
        <i/>
        <sz val="18"/>
        <color theme="3" tint="-0.499984740745262"/>
        <rFont val="HGP創英角ﾎﾟｯﾌﾟ体"/>
        <family val="3"/>
        <charset val="128"/>
      </rPr>
      <t>クリリン</t>
    </r>
    <r>
      <rPr>
        <b/>
        <sz val="18"/>
        <color theme="3" tint="-0.499984740745262"/>
        <rFont val="HGP創英角ﾎﾟｯﾌﾟ体"/>
        <family val="3"/>
        <charset val="128"/>
      </rPr>
      <t>で３d６ダメージ！</t>
    </r>
    <rPh sb="0" eb="2">
      <t>メザ</t>
    </rPh>
    <phoneticPr fontId="1"/>
  </si>
  <si>
    <t>①遠隔タイプと射撃戦になった時こそ効果が特に大きい</t>
    <rPh sb="1" eb="3">
      <t>エンカク</t>
    </rPh>
    <rPh sb="7" eb="9">
      <t>シャゲキ</t>
    </rPh>
    <rPh sb="9" eb="10">
      <t>セン</t>
    </rPh>
    <rPh sb="14" eb="15">
      <t>トキ</t>
    </rPh>
    <rPh sb="17" eb="19">
      <t>コウカ</t>
    </rPh>
    <rPh sb="20" eb="21">
      <t>トク</t>
    </rPh>
    <rPh sb="22" eb="23">
      <t>オオ</t>
    </rPh>
    <phoneticPr fontId="1"/>
  </si>
  <si>
    <t>　敵がこちらの前衛の接近を許してくれない場合、ギャンブルが成功していないと　かなり苦しい。</t>
    <rPh sb="1" eb="2">
      <t>テキ</t>
    </rPh>
    <rPh sb="7" eb="9">
      <t>ゼンエイ</t>
    </rPh>
    <rPh sb="10" eb="12">
      <t>セッキン</t>
    </rPh>
    <rPh sb="13" eb="14">
      <t>ユル</t>
    </rPh>
    <rPh sb="20" eb="22">
      <t>バアイ</t>
    </rPh>
    <rPh sb="29" eb="31">
      <t>セイコウ</t>
    </rPh>
    <rPh sb="41" eb="42">
      <t>クル</t>
    </rPh>
    <phoneticPr fontId="1"/>
  </si>
  <si>
    <t>　接近タイプの敵に対しては　どうせ後で仲間がなんとかしてくれる(笑)ので普通に解決しがち。</t>
    <rPh sb="1" eb="3">
      <t>セッキン</t>
    </rPh>
    <rPh sb="7" eb="8">
      <t>テキ</t>
    </rPh>
    <rPh sb="9" eb="10">
      <t>タイ</t>
    </rPh>
    <rPh sb="17" eb="18">
      <t>アト</t>
    </rPh>
    <rPh sb="19" eb="21">
      <t>ナカマ</t>
    </rPh>
    <rPh sb="32" eb="33">
      <t>ワライ</t>
    </rPh>
    <rPh sb="36" eb="38">
      <t>フツウ</t>
    </rPh>
    <rPh sb="39" eb="41">
      <t>カイケツ</t>
    </rPh>
    <phoneticPr fontId="1"/>
  </si>
  <si>
    <t>以上の２点から導き出される結論は、</t>
    <rPh sb="0" eb="2">
      <t>イジョウ</t>
    </rPh>
    <rPh sb="4" eb="5">
      <t>テン</t>
    </rPh>
    <rPh sb="7" eb="8">
      <t>ミチビ</t>
    </rPh>
    <rPh sb="9" eb="10">
      <t>ダ</t>
    </rPh>
    <rPh sb="13" eb="15">
      <t>ケツロン</t>
    </rPh>
    <phoneticPr fontId="1"/>
  </si>
  <si>
    <r>
      <rPr>
        <b/>
        <sz val="11"/>
        <color rgb="FFFF0000"/>
        <rFont val="HGP創英角ﾎﾟｯﾌﾟ体"/>
        <family val="3"/>
        <charset val="128"/>
      </rPr>
      <t>ギャンブル発動中</t>
    </r>
    <r>
      <rPr>
        <b/>
        <sz val="11"/>
        <color theme="8" tint="-0.499984740745262"/>
        <rFont val="ＭＳ Ｐゴシック"/>
        <family val="3"/>
        <charset val="128"/>
        <scheme val="minor"/>
      </rPr>
      <t>は　自分のターン中に　</t>
    </r>
    <r>
      <rPr>
        <b/>
        <sz val="11"/>
        <color theme="3" tint="-0.499984740745262"/>
        <rFont val="ＭＳ Ｐゴシック"/>
        <family val="3"/>
        <charset val="128"/>
        <scheme val="minor"/>
      </rPr>
      <t>どれだけ多くの機会攻撃を誘発させられるか</t>
    </r>
    <r>
      <rPr>
        <b/>
        <sz val="11"/>
        <color theme="8" tint="-0.499984740745262"/>
        <rFont val="ＭＳ Ｐゴシック"/>
        <family val="3"/>
        <charset val="128"/>
        <scheme val="minor"/>
      </rPr>
      <t>よりも　</t>
    </r>
    <rPh sb="5" eb="7">
      <t>ハツドウ</t>
    </rPh>
    <rPh sb="7" eb="8">
      <t>チュウ</t>
    </rPh>
    <rPh sb="10" eb="12">
      <t>ジブン</t>
    </rPh>
    <rPh sb="16" eb="17">
      <t>チュウ</t>
    </rPh>
    <rPh sb="23" eb="24">
      <t>オオ</t>
    </rPh>
    <rPh sb="26" eb="28">
      <t>キカイ</t>
    </rPh>
    <rPh sb="28" eb="30">
      <t>コウゲキ</t>
    </rPh>
    <rPh sb="31" eb="33">
      <t>ユウハツ</t>
    </rPh>
    <phoneticPr fontId="1"/>
  </si>
  <si>
    <r>
      <rPr>
        <b/>
        <sz val="11"/>
        <color rgb="FFFF0000"/>
        <rFont val="ＭＳ Ｐゴシック"/>
        <family val="3"/>
        <charset val="128"/>
        <scheme val="minor"/>
      </rPr>
      <t>他人のターン中</t>
    </r>
    <r>
      <rPr>
        <b/>
        <sz val="11"/>
        <color theme="8" tint="-0.499984740745262"/>
        <rFont val="ＭＳ Ｐゴシック"/>
        <family val="3"/>
        <charset val="128"/>
        <scheme val="minor"/>
      </rPr>
      <t>に　</t>
    </r>
    <r>
      <rPr>
        <b/>
        <sz val="11"/>
        <color rgb="FFFF0000"/>
        <rFont val="ＭＳ Ｐゴシック"/>
        <family val="3"/>
        <charset val="128"/>
        <scheme val="minor"/>
      </rPr>
      <t>どれだけ多くの敵から攻撃してもらえるか</t>
    </r>
    <r>
      <rPr>
        <b/>
        <sz val="11"/>
        <color theme="8" tint="-0.499984740745262"/>
        <rFont val="ＭＳ Ｐゴシック"/>
        <family val="3"/>
        <charset val="128"/>
        <scheme val="minor"/>
      </rPr>
      <t>の方が　実は重要なのである！</t>
    </r>
    <rPh sb="0" eb="2">
      <t>タニン</t>
    </rPh>
    <rPh sb="6" eb="7">
      <t>チュウ</t>
    </rPh>
    <rPh sb="13" eb="14">
      <t>オオ</t>
    </rPh>
    <rPh sb="19" eb="21">
      <t>コウゲキ</t>
    </rPh>
    <rPh sb="29" eb="30">
      <t>ホウ</t>
    </rPh>
    <rPh sb="32" eb="33">
      <t>ジツ</t>
    </rPh>
    <rPh sb="34" eb="36">
      <t>ジュウヨウ</t>
    </rPh>
    <phoneticPr fontId="1"/>
  </si>
  <si>
    <r>
      <rPr>
        <b/>
        <sz val="12"/>
        <color rgb="FFFF0000"/>
        <rFont val="HGP創英角ﾎﾟｯﾌﾟ体"/>
        <family val="3"/>
        <charset val="128"/>
      </rPr>
      <t>ギャンブルに成功するメリット</t>
    </r>
    <r>
      <rPr>
        <sz val="11"/>
        <color theme="1"/>
        <rFont val="ＭＳ Ｐゴシック"/>
        <family val="2"/>
        <charset val="128"/>
        <scheme val="minor"/>
      </rPr>
      <t>の　</t>
    </r>
    <r>
      <rPr>
        <b/>
        <sz val="11"/>
        <color theme="1"/>
        <rFont val="ＭＳ Ｐゴシック"/>
        <family val="3"/>
        <charset val="128"/>
        <scheme val="minor"/>
      </rPr>
      <t>特徴</t>
    </r>
    <r>
      <rPr>
        <sz val="11"/>
        <color theme="1"/>
        <rFont val="ＭＳ Ｐゴシック"/>
        <family val="2"/>
        <charset val="128"/>
        <scheme val="minor"/>
      </rPr>
      <t>　は以下の通り。</t>
    </r>
    <rPh sb="6" eb="8">
      <t>セイコウ</t>
    </rPh>
    <rPh sb="16" eb="18">
      <t>トクチョウ</t>
    </rPh>
    <rPh sb="20" eb="22">
      <t>イカ</t>
    </rPh>
    <rPh sb="23" eb="24">
      <t>トオ</t>
    </rPh>
    <phoneticPr fontId="1"/>
  </si>
  <si>
    <r>
      <t>ギャンブル発動中のハルトの</t>
    </r>
    <r>
      <rPr>
        <b/>
        <sz val="14"/>
        <color rgb="FFFF0000"/>
        <rFont val="ＭＳ Ｐゴシック"/>
        <family val="3"/>
        <charset val="128"/>
        <scheme val="minor"/>
      </rPr>
      <t>理想的なターン終了時の立ち位置</t>
    </r>
    <rPh sb="5" eb="7">
      <t>ハツドウ</t>
    </rPh>
    <rPh sb="7" eb="8">
      <t>チュウ</t>
    </rPh>
    <rPh sb="13" eb="16">
      <t>リソウテキ</t>
    </rPh>
    <rPh sb="22" eb="23">
      <t>ジ</t>
    </rPh>
    <rPh sb="24" eb="25">
      <t>タ</t>
    </rPh>
    <rPh sb="26" eb="28">
      <t>イチ</t>
    </rPh>
    <phoneticPr fontId="1"/>
  </si>
  <si>
    <t>⇒１ラウンドだけ前衛に我慢してもらう位の配慮が欲しい。</t>
    <rPh sb="8" eb="10">
      <t>ゼンエイ</t>
    </rPh>
    <rPh sb="11" eb="13">
      <t>ガマン</t>
    </rPh>
    <rPh sb="18" eb="19">
      <t>クライ</t>
    </rPh>
    <rPh sb="20" eb="22">
      <t>ハイリョ</t>
    </rPh>
    <rPh sb="23" eb="24">
      <t>ホ</t>
    </rPh>
    <phoneticPr fontId="1"/>
  </si>
  <si>
    <t>⇒範囲攻撃に巻き込まれて、この時だけは心中覚悟。</t>
    <rPh sb="1" eb="3">
      <t>ハンイ</t>
    </rPh>
    <rPh sb="3" eb="5">
      <t>コウゲキ</t>
    </rPh>
    <rPh sb="6" eb="7">
      <t>マ</t>
    </rPh>
    <rPh sb="8" eb="9">
      <t>コ</t>
    </rPh>
    <rPh sb="15" eb="16">
      <t>トキ</t>
    </rPh>
    <rPh sb="19" eb="21">
      <t>シンジュウ</t>
    </rPh>
    <rPh sb="21" eb="23">
      <t>カクゴ</t>
    </rPh>
    <phoneticPr fontId="1"/>
  </si>
  <si>
    <t>⇒積極的に射撃スキーの矢面に立ちたい。</t>
    <rPh sb="1" eb="4">
      <t>セッキョクテキ</t>
    </rPh>
    <rPh sb="5" eb="7">
      <t>シャゲキ</t>
    </rPh>
    <rPh sb="11" eb="13">
      <t>ヤオモテ</t>
    </rPh>
    <rPh sb="14" eb="15">
      <t>タ</t>
    </rPh>
    <phoneticPr fontId="1"/>
  </si>
  <si>
    <t>　・前衛よりも前に出ている</t>
    <rPh sb="2" eb="4">
      <t>ゼンエイ</t>
    </rPh>
    <rPh sb="7" eb="8">
      <t>マエ</t>
    </rPh>
    <rPh sb="9" eb="10">
      <t>デ</t>
    </rPh>
    <phoneticPr fontId="1"/>
  </si>
  <si>
    <t>　・グラスターと隣接する位　接近する</t>
    <rPh sb="8" eb="10">
      <t>リンセツ</t>
    </rPh>
    <rPh sb="12" eb="13">
      <t>グライ</t>
    </rPh>
    <rPh sb="14" eb="16">
      <t>セッキン</t>
    </rPh>
    <phoneticPr fontId="1"/>
  </si>
  <si>
    <t>　・マークされていない敵に対して身をさらす</t>
    <rPh sb="11" eb="12">
      <t>テキ</t>
    </rPh>
    <rPh sb="13" eb="14">
      <t>タイ</t>
    </rPh>
    <rPh sb="16" eb="17">
      <t>ミ</t>
    </rPh>
    <phoneticPr fontId="1"/>
  </si>
  <si>
    <t>次の自分のターンには　機会攻撃を誘発させ易い位置まで敵が寄って来ているかもしれないので</t>
    <rPh sb="0" eb="1">
      <t>ツギ</t>
    </rPh>
    <rPh sb="2" eb="4">
      <t>ジブン</t>
    </rPh>
    <rPh sb="11" eb="13">
      <t>キカイ</t>
    </rPh>
    <rPh sb="13" eb="15">
      <t>コウゲキ</t>
    </rPh>
    <rPh sb="16" eb="18">
      <t>ユウハツ</t>
    </rPh>
    <rPh sb="20" eb="21">
      <t>ヤス</t>
    </rPh>
    <rPh sb="22" eb="24">
      <t>イチ</t>
    </rPh>
    <rPh sb="26" eb="27">
      <t>テキ</t>
    </rPh>
    <rPh sb="28" eb="29">
      <t>ヨ</t>
    </rPh>
    <rPh sb="31" eb="32">
      <t>キ</t>
    </rPh>
    <phoneticPr fontId="1"/>
  </si>
  <si>
    <r>
      <t>発動したターンには　機会攻撃よりも</t>
    </r>
    <r>
      <rPr>
        <b/>
        <sz val="11"/>
        <color rgb="FFFF0000"/>
        <rFont val="ＭＳ Ｐゴシック"/>
        <family val="3"/>
        <charset val="128"/>
        <scheme val="minor"/>
      </rPr>
      <t>このターン終了時の立ち位置を重視した移動</t>
    </r>
    <r>
      <rPr>
        <sz val="11"/>
        <color theme="1"/>
        <rFont val="ＭＳ Ｐゴシック"/>
        <family val="2"/>
        <charset val="128"/>
        <scheme val="minor"/>
      </rPr>
      <t>をする方が良い。</t>
    </r>
    <rPh sb="0" eb="2">
      <t>ハツドウ</t>
    </rPh>
    <rPh sb="10" eb="14">
      <t>キカイコウゲキ</t>
    </rPh>
    <rPh sb="22" eb="25">
      <t>シュウリョウジ</t>
    </rPh>
    <rPh sb="26" eb="27">
      <t>タ</t>
    </rPh>
    <rPh sb="28" eb="30">
      <t>イチ</t>
    </rPh>
    <rPh sb="31" eb="33">
      <t>ジュウシ</t>
    </rPh>
    <rPh sb="35" eb="37">
      <t>イドウ</t>
    </rPh>
    <rPh sb="40" eb="41">
      <t>ホウ</t>
    </rPh>
    <rPh sb="42" eb="43">
      <t>ヨ</t>
    </rPh>
    <phoneticPr fontId="1"/>
  </si>
  <si>
    <t>つまり、発動したターンよりも次のターンに機会攻撃を誘発させる方が　より効果が期待できるハズだ。</t>
    <rPh sb="4" eb="6">
      <t>ハツドウ</t>
    </rPh>
    <rPh sb="14" eb="15">
      <t>ツギ</t>
    </rPh>
    <rPh sb="20" eb="22">
      <t>キカイ</t>
    </rPh>
    <rPh sb="30" eb="31">
      <t>ホウ</t>
    </rPh>
    <rPh sb="35" eb="37">
      <t>コウカ</t>
    </rPh>
    <rPh sb="38" eb="40">
      <t>キタイ</t>
    </rPh>
    <phoneticPr fontId="1"/>
  </si>
  <si>
    <t>　・どの味方からも遠く離れている</t>
    <rPh sb="4" eb="6">
      <t>ミカタ</t>
    </rPh>
    <rPh sb="9" eb="10">
      <t>トオ</t>
    </rPh>
    <rPh sb="11" eb="12">
      <t>ハナ</t>
    </rPh>
    <phoneticPr fontId="1"/>
  </si>
  <si>
    <t>　・味方の陰に引っ込んでいる</t>
    <rPh sb="2" eb="4">
      <t>ミカタ</t>
    </rPh>
    <rPh sb="5" eb="6">
      <t>カゲ</t>
    </rPh>
    <rPh sb="7" eb="8">
      <t>ヒ</t>
    </rPh>
    <rPh sb="9" eb="10">
      <t>コ</t>
    </rPh>
    <phoneticPr fontId="1"/>
  </si>
  <si>
    <t>　・曲がり角の先に隠れている</t>
    <rPh sb="2" eb="3">
      <t>マ</t>
    </rPh>
    <rPh sb="5" eb="6">
      <t>カド</t>
    </rPh>
    <rPh sb="7" eb="8">
      <t>サキ</t>
    </rPh>
    <rPh sb="9" eb="10">
      <t>カク</t>
    </rPh>
    <phoneticPr fontId="1"/>
  </si>
  <si>
    <t>⇒こういう時に矢面に立たずして　どうする？</t>
    <rPh sb="5" eb="6">
      <t>トキ</t>
    </rPh>
    <rPh sb="7" eb="9">
      <t>ヤオモテ</t>
    </rPh>
    <rPh sb="10" eb="11">
      <t>タ</t>
    </rPh>
    <phoneticPr fontId="1"/>
  </si>
  <si>
    <t>⇒範囲攻撃に巻き込まれようがないのは　大きく減点！</t>
    <rPh sb="1" eb="3">
      <t>ハンイ</t>
    </rPh>
    <rPh sb="3" eb="5">
      <t>コウゲキ</t>
    </rPh>
    <rPh sb="6" eb="7">
      <t>マ</t>
    </rPh>
    <rPh sb="8" eb="9">
      <t>コ</t>
    </rPh>
    <rPh sb="19" eb="20">
      <t>オオ</t>
    </rPh>
    <rPh sb="22" eb="24">
      <t>ゲンテン</t>
    </rPh>
    <phoneticPr fontId="1"/>
  </si>
  <si>
    <t>以上の内容を踏まえて　効果的なギャンブル発動ポイントを考察すると・・・</t>
    <rPh sb="0" eb="2">
      <t>イジョウ</t>
    </rPh>
    <rPh sb="3" eb="5">
      <t>ナイヨウ</t>
    </rPh>
    <rPh sb="6" eb="7">
      <t>フ</t>
    </rPh>
    <rPh sb="11" eb="14">
      <t>コウカテキ</t>
    </rPh>
    <rPh sb="20" eb="22">
      <t>ハツドウ</t>
    </rPh>
    <rPh sb="27" eb="29">
      <t>コウサツ</t>
    </rPh>
    <phoneticPr fontId="1"/>
  </si>
  <si>
    <r>
      <t>ギャンブル発動中のハルトの</t>
    </r>
    <r>
      <rPr>
        <b/>
        <sz val="14"/>
        <color rgb="FFFF0000"/>
        <rFont val="ＭＳ Ｐゴシック"/>
        <family val="3"/>
        <charset val="128"/>
        <scheme val="minor"/>
      </rPr>
      <t>かなり残念なターン終了時の立ち位置</t>
    </r>
    <rPh sb="5" eb="7">
      <t>ハツドウ</t>
    </rPh>
    <rPh sb="7" eb="8">
      <t>チュウ</t>
    </rPh>
    <rPh sb="16" eb="18">
      <t>ザンネン</t>
    </rPh>
    <rPh sb="24" eb="25">
      <t>ジ</t>
    </rPh>
    <rPh sb="26" eb="27">
      <t>タ</t>
    </rPh>
    <rPh sb="28" eb="30">
      <t>イチ</t>
    </rPh>
    <phoneticPr fontId="1"/>
  </si>
  <si>
    <r>
      <t>ちなみに</t>
    </r>
    <r>
      <rPr>
        <b/>
        <i/>
        <sz val="11"/>
        <color rgb="FFFF0000"/>
        <rFont val="ＭＳ Ｐゴシック"/>
        <family val="3"/>
        <charset val="128"/>
        <scheme val="minor"/>
      </rPr>
      <t>クリリン</t>
    </r>
    <r>
      <rPr>
        <sz val="11"/>
        <color theme="1"/>
        <rFont val="ＭＳ Ｐゴシック"/>
        <family val="2"/>
        <charset val="128"/>
        <scheme val="minor"/>
      </rPr>
      <t>重視の立ち回りが出来るようになると　実は</t>
    </r>
    <r>
      <rPr>
        <b/>
        <sz val="11"/>
        <color rgb="FFFF0000"/>
        <rFont val="ＭＳ Ｐゴシック"/>
        <family val="3"/>
        <charset val="128"/>
        <scheme val="minor"/>
      </rPr>
      <t>ギャンブル発動ポイントと被り易くなる</t>
    </r>
    <r>
      <rPr>
        <sz val="11"/>
        <color theme="1"/>
        <rFont val="ＭＳ Ｐゴシック"/>
        <family val="2"/>
        <charset val="128"/>
        <scheme val="minor"/>
      </rPr>
      <t>。</t>
    </r>
    <rPh sb="8" eb="10">
      <t>ジュウシ</t>
    </rPh>
    <rPh sb="11" eb="12">
      <t>タ</t>
    </rPh>
    <rPh sb="13" eb="14">
      <t>マワ</t>
    </rPh>
    <rPh sb="16" eb="18">
      <t>デキ</t>
    </rPh>
    <rPh sb="26" eb="27">
      <t>ジツ</t>
    </rPh>
    <rPh sb="33" eb="35">
      <t>ハツドウ</t>
    </rPh>
    <rPh sb="40" eb="41">
      <t>カブ</t>
    </rPh>
    <rPh sb="42" eb="43">
      <t>ヤス</t>
    </rPh>
    <phoneticPr fontId="1"/>
  </si>
  <si>
    <r>
      <t>クリティカルが出たら</t>
    </r>
    <r>
      <rPr>
        <i/>
        <sz val="11"/>
        <color rgb="FFFF0000"/>
        <rFont val="ＭＳ Ｐゴシック"/>
        <family val="3"/>
        <charset val="128"/>
        <scheme val="minor"/>
      </rPr>
      <t>クリリン</t>
    </r>
    <r>
      <rPr>
        <sz val="11"/>
        <color theme="1"/>
        <rFont val="ＭＳ Ｐゴシック"/>
        <family val="2"/>
        <charset val="128"/>
        <scheme val="minor"/>
      </rPr>
      <t>、出なかったら</t>
    </r>
    <r>
      <rPr>
        <b/>
        <sz val="11"/>
        <color rgb="FFFF0000"/>
        <rFont val="ＭＳ Ｐゴシック"/>
        <family val="3"/>
        <charset val="128"/>
        <scheme val="minor"/>
      </rPr>
      <t>ギャンブル</t>
    </r>
    <r>
      <rPr>
        <sz val="11"/>
        <color theme="1"/>
        <rFont val="ＭＳ Ｐゴシック"/>
        <family val="2"/>
        <charset val="128"/>
        <scheme val="minor"/>
      </rPr>
      <t>、といった事が可能な立ち回りは実に無駄が無い。</t>
    </r>
    <rPh sb="7" eb="8">
      <t>デ</t>
    </rPh>
    <rPh sb="15" eb="16">
      <t>デ</t>
    </rPh>
    <rPh sb="31" eb="32">
      <t>コト</t>
    </rPh>
    <rPh sb="33" eb="35">
      <t>カノウ</t>
    </rPh>
    <rPh sb="36" eb="37">
      <t>タ</t>
    </rPh>
    <rPh sb="38" eb="39">
      <t>マワ</t>
    </rPh>
    <rPh sb="41" eb="42">
      <t>ジツ</t>
    </rPh>
    <rPh sb="43" eb="45">
      <t>ムダ</t>
    </rPh>
    <rPh sb="46" eb="47">
      <t>ナ</t>
    </rPh>
    <phoneticPr fontId="1"/>
  </si>
  <si>
    <t>デフト･ストライク</t>
    <phoneticPr fontId="1"/>
  </si>
  <si>
    <t>ギャンブルの効果が切れるターンには当然、デフト･ストライクも動員して全力で機会攻撃を誘発したいが、</t>
    <rPh sb="6" eb="8">
      <t>コウカ</t>
    </rPh>
    <rPh sb="9" eb="10">
      <t>キ</t>
    </rPh>
    <rPh sb="17" eb="19">
      <t>トウゼン</t>
    </rPh>
    <rPh sb="30" eb="32">
      <t>ドウイン</t>
    </rPh>
    <rPh sb="34" eb="36">
      <t>ゼンリョク</t>
    </rPh>
    <rPh sb="37" eb="39">
      <t>キカイ</t>
    </rPh>
    <rPh sb="39" eb="41">
      <t>コウゲキ</t>
    </rPh>
    <rPh sb="42" eb="44">
      <t>ユウハツ</t>
    </rPh>
    <phoneticPr fontId="1"/>
  </si>
  <si>
    <t>⇒わざわざ敵から狙われにくくなっては　全く意味不明！</t>
    <rPh sb="5" eb="6">
      <t>テキ</t>
    </rPh>
    <rPh sb="8" eb="9">
      <t>ネラ</t>
    </rPh>
    <rPh sb="19" eb="20">
      <t>マッタ</t>
    </rPh>
    <rPh sb="21" eb="23">
      <t>イミ</t>
    </rPh>
    <rPh sb="23" eb="25">
      <t>フメイ</t>
    </rPh>
    <phoneticPr fontId="1"/>
  </si>
  <si>
    <r>
      <rPr>
        <b/>
        <i/>
        <sz val="11"/>
        <color rgb="FFFF0000"/>
        <rFont val="ＭＳ Ｐゴシック"/>
        <family val="3"/>
        <charset val="128"/>
        <scheme val="minor"/>
      </rPr>
      <t>クリリン</t>
    </r>
    <r>
      <rPr>
        <sz val="11"/>
        <color theme="7" tint="-0.499984740745262"/>
        <rFont val="ＭＳ Ｐゴシック"/>
        <family val="3"/>
        <charset val="128"/>
        <scheme val="minor"/>
      </rPr>
      <t>がまだ残っているならば、とりあえず全力で移動を始めちゃうのは　やはり問題が・・・。</t>
    </r>
    <rPh sb="7" eb="8">
      <t>ノコ</t>
    </rPh>
    <rPh sb="21" eb="23">
      <t>ゼンリョク</t>
    </rPh>
    <rPh sb="24" eb="26">
      <t>イドウ</t>
    </rPh>
    <rPh sb="27" eb="28">
      <t>ハジ</t>
    </rPh>
    <rPh sb="38" eb="40">
      <t>モンダイ</t>
    </rPh>
    <phoneticPr fontId="1"/>
  </si>
  <si>
    <r>
      <rPr>
        <b/>
        <i/>
        <sz val="11"/>
        <color rgb="FFFF0000"/>
        <rFont val="ＭＳ Ｐゴシック"/>
        <family val="3"/>
        <charset val="128"/>
        <scheme val="minor"/>
      </rPr>
      <t>クリリン</t>
    </r>
    <r>
      <rPr>
        <sz val="11"/>
        <color theme="7" tint="-0.499984740745262"/>
        <rFont val="ＭＳ Ｐゴシック"/>
        <family val="3"/>
        <charset val="128"/>
        <scheme val="minor"/>
      </rPr>
      <t>用の移動を浮かす為にも標準アクションは遭遇毎パワーで攻撃すれば　フォロー出来るかも。</t>
    </r>
    <rPh sb="4" eb="5">
      <t>ヨウ</t>
    </rPh>
    <rPh sb="6" eb="8">
      <t>イドウ</t>
    </rPh>
    <rPh sb="9" eb="10">
      <t>ウ</t>
    </rPh>
    <rPh sb="12" eb="13">
      <t>タメ</t>
    </rPh>
    <rPh sb="15" eb="17">
      <t>ヒョウジュン</t>
    </rPh>
    <rPh sb="23" eb="25">
      <t>ソウグウ</t>
    </rPh>
    <rPh sb="25" eb="26">
      <t>マイ</t>
    </rPh>
    <rPh sb="30" eb="32">
      <t>コウゲキ</t>
    </rPh>
    <rPh sb="40" eb="42">
      <t>デキ</t>
    </rPh>
    <phoneticPr fontId="1"/>
  </si>
  <si>
    <t>防御</t>
    <rPh sb="0" eb="2">
      <t>ボウギョ</t>
    </rPh>
    <phoneticPr fontId="1"/>
  </si>
  <si>
    <r>
      <rPr>
        <b/>
        <sz val="16"/>
        <color rgb="FFFF0000"/>
        <rFont val="HGPｺﾞｼｯｸE"/>
        <family val="3"/>
        <charset val="128"/>
      </rPr>
      <t>遠近両用・サブパワー　　　</t>
    </r>
    <r>
      <rPr>
        <b/>
        <sz val="11"/>
        <color rgb="FFFF0000"/>
        <rFont val="ＭＳ Ｐゴシック"/>
        <family val="3"/>
        <charset val="128"/>
        <scheme val="minor"/>
      </rPr>
      <t>移動力重視！と言いつつ、他にも特典わんさか</t>
    </r>
    <rPh sb="0" eb="2">
      <t>エンキン</t>
    </rPh>
    <rPh sb="2" eb="4">
      <t>リョウヨウ</t>
    </rPh>
    <rPh sb="13" eb="15">
      <t>イドウ</t>
    </rPh>
    <rPh sb="15" eb="16">
      <t>リョク</t>
    </rPh>
    <rPh sb="16" eb="18">
      <t>ジュウシ</t>
    </rPh>
    <rPh sb="20" eb="21">
      <t>イ</t>
    </rPh>
    <rPh sb="25" eb="26">
      <t>ホカ</t>
    </rPh>
    <rPh sb="28" eb="30">
      <t>トクテン</t>
    </rPh>
    <phoneticPr fontId="1"/>
  </si>
  <si>
    <t>即応・割込</t>
    <rPh sb="0" eb="2">
      <t>ソクオウ</t>
    </rPh>
    <rPh sb="3" eb="4">
      <t>ワ</t>
    </rPh>
    <rPh sb="4" eb="5">
      <t>コ</t>
    </rPh>
    <phoneticPr fontId="1"/>
  </si>
  <si>
    <t>注意点</t>
    <rPh sb="0" eb="3">
      <t>チュウイテン</t>
    </rPh>
    <phoneticPr fontId="1"/>
  </si>
  <si>
    <t>時には突撃もアリ？</t>
    <rPh sb="0" eb="1">
      <t>トキ</t>
    </rPh>
    <rPh sb="3" eb="5">
      <t>トツゲキ</t>
    </rPh>
    <phoneticPr fontId="1"/>
  </si>
  <si>
    <t>残りＨＰ２０前後の敵のトドメに</t>
    <rPh sb="0" eb="1">
      <t>ノコ</t>
    </rPh>
    <rPh sb="6" eb="8">
      <t>ゼンゴ</t>
    </rPh>
    <rPh sb="9" eb="10">
      <t>テキ</t>
    </rPh>
    <phoneticPr fontId="1"/>
  </si>
  <si>
    <t>魅力ダガーマスター　基本のキ！</t>
    <rPh sb="0" eb="2">
      <t>ミリョク</t>
    </rPh>
    <rPh sb="10" eb="12">
      <t>キホン</t>
    </rPh>
    <phoneticPr fontId="1"/>
  </si>
  <si>
    <r>
      <rPr>
        <b/>
        <sz val="16"/>
        <color rgb="FFFF0000"/>
        <rFont val="HGPｺﾞｼｯｸE"/>
        <family val="3"/>
        <charset val="128"/>
      </rPr>
      <t>基礎攻撃　　　　　</t>
    </r>
    <r>
      <rPr>
        <b/>
        <sz val="11"/>
        <color rgb="FFFF0000"/>
        <rFont val="ＭＳ Ｐゴシック"/>
        <family val="3"/>
        <charset val="128"/>
        <scheme val="minor"/>
      </rPr>
      <t>なんだかんだで　他人のターンには大活躍</t>
    </r>
    <rPh sb="0" eb="2">
      <t>キソ</t>
    </rPh>
    <rPh sb="2" eb="4">
      <t>コウゲキ</t>
    </rPh>
    <rPh sb="17" eb="19">
      <t>タニン</t>
    </rPh>
    <rPh sb="25" eb="28">
      <t>ダイカツヤク</t>
    </rPh>
    <phoneticPr fontId="1"/>
  </si>
  <si>
    <r>
      <rPr>
        <b/>
        <sz val="16"/>
        <color rgb="FFFF0000"/>
        <rFont val="HGPｺﾞｼｯｸE"/>
        <family val="3"/>
        <charset val="128"/>
      </rPr>
      <t>マイナーアクション色々　　　</t>
    </r>
    <r>
      <rPr>
        <b/>
        <sz val="11"/>
        <color rgb="FFFF0000"/>
        <rFont val="ＭＳ Ｐゴシック"/>
        <family val="3"/>
        <charset val="128"/>
        <scheme val="minor"/>
      </rPr>
      <t>妙にクセの強いパワーがゾ～ロゾロ</t>
    </r>
    <rPh sb="9" eb="11">
      <t>イロイロ</t>
    </rPh>
    <rPh sb="14" eb="15">
      <t>ミョウ</t>
    </rPh>
    <rPh sb="19" eb="20">
      <t>ツヨ</t>
    </rPh>
    <phoneticPr fontId="1"/>
  </si>
  <si>
    <r>
      <rPr>
        <b/>
        <sz val="16"/>
        <color rgb="FFFF0000"/>
        <rFont val="HGPｺﾞｼｯｸE"/>
        <family val="3"/>
        <charset val="128"/>
      </rPr>
      <t>防御的即応割込パワー　　　</t>
    </r>
    <r>
      <rPr>
        <b/>
        <sz val="11"/>
        <color rgb="FFFF0000"/>
        <rFont val="ＭＳ Ｐゴシック"/>
        <family val="3"/>
        <charset val="128"/>
        <scheme val="minor"/>
      </rPr>
      <t>待機を多用し過ぎると　チャンスが潰れる？</t>
    </r>
    <rPh sb="0" eb="3">
      <t>ボウギョテキ</t>
    </rPh>
    <rPh sb="3" eb="5">
      <t>ソクオウ</t>
    </rPh>
    <rPh sb="5" eb="6">
      <t>ワ</t>
    </rPh>
    <rPh sb="6" eb="7">
      <t>コ</t>
    </rPh>
    <rPh sb="13" eb="15">
      <t>タイキ</t>
    </rPh>
    <rPh sb="16" eb="18">
      <t>タヨウ</t>
    </rPh>
    <rPh sb="19" eb="20">
      <t>ス</t>
    </rPh>
    <rPh sb="29" eb="30">
      <t>ツブ</t>
    </rPh>
    <phoneticPr fontId="1"/>
  </si>
  <si>
    <t>意識して狙わないと　まず無理！</t>
    <rPh sb="0" eb="2">
      <t>イシキ</t>
    </rPh>
    <rPh sb="4" eb="5">
      <t>ネラ</t>
    </rPh>
    <rPh sb="12" eb="14">
      <t>ムリ</t>
    </rPh>
    <phoneticPr fontId="1"/>
  </si>
  <si>
    <t>非常に強力だが、他のマイナーアクションとの両立、激ムズ！</t>
    <rPh sb="0" eb="2">
      <t>ヒジョウ</t>
    </rPh>
    <rPh sb="3" eb="5">
      <t>キョウリョク</t>
    </rPh>
    <phoneticPr fontId="1"/>
  </si>
  <si>
    <t>戦術的優位　確定！</t>
    <rPh sb="0" eb="3">
      <t>センジュツテキ</t>
    </rPh>
    <rPh sb="3" eb="5">
      <t>ユウイ</t>
    </rPh>
    <rPh sb="6" eb="8">
      <t>カクテイ</t>
    </rPh>
    <phoneticPr fontId="1"/>
  </si>
  <si>
    <t>　　　　　　　　-５のペナルティを受けて再ロール！</t>
    <rPh sb="17" eb="18">
      <t>ウ</t>
    </rPh>
    <rPh sb="20" eb="21">
      <t>サイ</t>
    </rPh>
    <phoneticPr fontId="1"/>
  </si>
  <si>
    <t>マークはずして　６マスシフト</t>
    <phoneticPr fontId="1"/>
  </si>
  <si>
    <r>
      <rPr>
        <b/>
        <sz val="16"/>
        <color rgb="FFFF0000"/>
        <rFont val="HGPｺﾞｼｯｸE"/>
        <family val="3"/>
        <charset val="128"/>
      </rPr>
      <t>遠近両用・メインパワー　　</t>
    </r>
    <r>
      <rPr>
        <b/>
        <sz val="11"/>
        <color rgb="FFFF0000"/>
        <rFont val="ＭＳ Ｐゴシック"/>
        <family val="3"/>
        <charset val="128"/>
        <scheme val="minor"/>
      </rPr>
      <t>ダメージ重視！っていうか、それ以外メリット全く無し</t>
    </r>
    <rPh sb="0" eb="2">
      <t>エンキン</t>
    </rPh>
    <rPh sb="2" eb="4">
      <t>リョウヨウ</t>
    </rPh>
    <rPh sb="17" eb="19">
      <t>ジュウシ</t>
    </rPh>
    <rPh sb="28" eb="30">
      <t>イガイ</t>
    </rPh>
    <rPh sb="34" eb="35">
      <t>マッタ</t>
    </rPh>
    <rPh sb="36" eb="37">
      <t>ナ</t>
    </rPh>
    <phoneticPr fontId="1"/>
  </si>
  <si>
    <t>デアリング・ギャンブル</t>
    <phoneticPr fontId="1"/>
  </si>
  <si>
    <r>
      <t>③移動アクション使用時には</t>
    </r>
    <r>
      <rPr>
        <b/>
        <sz val="11"/>
        <color rgb="FFFF0000"/>
        <rFont val="HGP創英角ｺﾞｼｯｸUB"/>
        <family val="3"/>
        <charset val="128"/>
      </rPr>
      <t>”まだ”機会攻撃を誘発したくない時</t>
    </r>
    <r>
      <rPr>
        <sz val="11"/>
        <color theme="1"/>
        <rFont val="ＭＳ Ｐゴシック"/>
        <family val="2"/>
        <charset val="128"/>
        <scheme val="minor"/>
      </rPr>
      <t>、標準アクションの前にはコレで移動！</t>
    </r>
    <rPh sb="1" eb="3">
      <t>イドウ</t>
    </rPh>
    <rPh sb="8" eb="11">
      <t>シヨウジ</t>
    </rPh>
    <rPh sb="17" eb="19">
      <t>キカイ</t>
    </rPh>
    <rPh sb="19" eb="21">
      <t>コウゲキ</t>
    </rPh>
    <rPh sb="22" eb="24">
      <t>ユウハツ</t>
    </rPh>
    <rPh sb="29" eb="30">
      <t>トキ</t>
    </rPh>
    <rPh sb="31" eb="33">
      <t>ヒョウジュン</t>
    </rPh>
    <rPh sb="39" eb="40">
      <t>マエ</t>
    </rPh>
    <rPh sb="45" eb="47">
      <t>イドウ</t>
    </rPh>
    <phoneticPr fontId="1"/>
  </si>
  <si>
    <t>　機会攻撃は良くも悪くも１ラウンド１回ポッキリ！</t>
    <rPh sb="1" eb="3">
      <t>キカイ</t>
    </rPh>
    <rPh sb="3" eb="5">
      <t>コウゲキ</t>
    </rPh>
    <rPh sb="6" eb="7">
      <t>ヨ</t>
    </rPh>
    <rPh sb="9" eb="10">
      <t>ワル</t>
    </rPh>
    <rPh sb="18" eb="19">
      <t>カイ</t>
    </rPh>
    <phoneticPr fontId="1"/>
  </si>
  <si>
    <t>　移動アクションで誘発しちゃうと、同一ターンの標準アクションでは誘発できないぞ！</t>
    <rPh sb="1" eb="3">
      <t>イドウ</t>
    </rPh>
    <rPh sb="9" eb="11">
      <t>ユウハツ</t>
    </rPh>
    <rPh sb="17" eb="19">
      <t>ドウイツ</t>
    </rPh>
    <rPh sb="23" eb="25">
      <t>ヒョウジュン</t>
    </rPh>
    <rPh sb="32" eb="34">
      <t>ユウハツ</t>
    </rPh>
    <phoneticPr fontId="1"/>
  </si>
  <si>
    <t>ハルトに対して機会攻撃できる敵すべて</t>
    <rPh sb="4" eb="5">
      <t>タイ</t>
    </rPh>
    <rPh sb="7" eb="9">
      <t>キカイ</t>
    </rPh>
    <rPh sb="9" eb="11">
      <t>コウゲキ</t>
    </rPh>
    <rPh sb="14" eb="15">
      <t>テキ</t>
    </rPh>
    <phoneticPr fontId="1"/>
  </si>
  <si>
    <t>６マス移動中、ハルトではなく自分自身に対して機会攻撃を強要</t>
    <rPh sb="3" eb="5">
      <t>イドウ</t>
    </rPh>
    <rPh sb="5" eb="6">
      <t>チュウ</t>
    </rPh>
    <rPh sb="14" eb="18">
      <t>ジブンジシン</t>
    </rPh>
    <rPh sb="19" eb="20">
      <t>タイ</t>
    </rPh>
    <rPh sb="22" eb="24">
      <t>キカイ</t>
    </rPh>
    <rPh sb="24" eb="26">
      <t>コウゲキ</t>
    </rPh>
    <rPh sb="27" eb="28">
      <t>ツヨ</t>
    </rPh>
    <rPh sb="28" eb="29">
      <t>ヨウ</t>
    </rPh>
    <phoneticPr fontId="1"/>
  </si>
  <si>
    <r>
      <rPr>
        <b/>
        <sz val="16"/>
        <color rgb="FFFF0000"/>
        <rFont val="HGPｺﾞｼｯｸE"/>
        <family val="3"/>
        <charset val="128"/>
      </rPr>
      <t>特殊な移動をするだけのパワー　　　</t>
    </r>
    <r>
      <rPr>
        <b/>
        <sz val="11"/>
        <color rgb="FFFF0000"/>
        <rFont val="ＭＳ Ｐゴシック"/>
        <family val="3"/>
        <charset val="128"/>
        <scheme val="minor"/>
      </rPr>
      <t>クセが強過ぎて使用率は低い・・・</t>
    </r>
    <rPh sb="0" eb="2">
      <t>トクシュ</t>
    </rPh>
    <rPh sb="3" eb="5">
      <t>イドウ</t>
    </rPh>
    <rPh sb="20" eb="21">
      <t>ツヨ</t>
    </rPh>
    <rPh sb="21" eb="22">
      <t>ス</t>
    </rPh>
    <rPh sb="24" eb="26">
      <t>シヨウ</t>
    </rPh>
    <rPh sb="26" eb="27">
      <t>リツ</t>
    </rPh>
    <rPh sb="28" eb="29">
      <t>ヒク</t>
    </rPh>
    <phoneticPr fontId="1"/>
  </si>
  <si>
    <t>対機会攻撃</t>
    <rPh sb="0" eb="1">
      <t>タイ</t>
    </rPh>
    <rPh sb="1" eb="3">
      <t>キカイ</t>
    </rPh>
    <rPh sb="3" eb="5">
      <t>コウゲキ</t>
    </rPh>
    <phoneticPr fontId="1"/>
  </si>
  <si>
    <t>ボーナス</t>
    <phoneticPr fontId="1"/>
  </si>
  <si>
    <r>
      <t>⇒ハルトが</t>
    </r>
    <r>
      <rPr>
        <b/>
        <sz val="11"/>
        <color rgb="FFFF0000"/>
        <rFont val="ＭＳ Ｐゴシック"/>
        <family val="3"/>
        <charset val="128"/>
        <scheme val="minor"/>
      </rPr>
      <t>盲目中でも全く効果が落ちず</t>
    </r>
    <rPh sb="5" eb="7">
      <t>モウモク</t>
    </rPh>
    <rPh sb="7" eb="8">
      <t>チュウ</t>
    </rPh>
    <rPh sb="10" eb="11">
      <t>マッタ</t>
    </rPh>
    <rPh sb="15" eb="16">
      <t>オ</t>
    </rPh>
    <phoneticPr fontId="1"/>
  </si>
  <si>
    <t>⇒ハルトがロールしない以上、マークも弱体化も関係無し</t>
    <rPh sb="11" eb="13">
      <t>イジョウ</t>
    </rPh>
    <rPh sb="18" eb="21">
      <t>ジャクタイカ</t>
    </rPh>
    <rPh sb="22" eb="24">
      <t>カンケイ</t>
    </rPh>
    <rPh sb="24" eb="25">
      <t>ナ</t>
    </rPh>
    <phoneticPr fontId="1"/>
  </si>
  <si>
    <r>
      <t>　盲目中等、</t>
    </r>
    <r>
      <rPr>
        <b/>
        <sz val="11"/>
        <color rgb="FFFF0000"/>
        <rFont val="ＭＳ Ｐゴシック"/>
        <family val="3"/>
        <charset val="128"/>
        <scheme val="minor"/>
      </rPr>
      <t>戦術的優位が絶対に取れない時</t>
    </r>
    <r>
      <rPr>
        <sz val="11"/>
        <color theme="1"/>
        <rFont val="ＭＳ Ｐゴシック"/>
        <family val="2"/>
        <charset val="128"/>
        <scheme val="minor"/>
      </rPr>
      <t>や</t>
    </r>
    <r>
      <rPr>
        <b/>
        <sz val="11"/>
        <color rgb="FFFF0000"/>
        <rFont val="ＭＳ Ｐゴシック"/>
        <family val="3"/>
        <charset val="128"/>
        <scheme val="minor"/>
      </rPr>
      <t>攻撃へのペナルティが大き過ぎる時</t>
    </r>
    <r>
      <rPr>
        <sz val="11"/>
        <color theme="1"/>
        <rFont val="ＭＳ Ｐゴシック"/>
        <family val="2"/>
        <charset val="128"/>
        <scheme val="minor"/>
      </rPr>
      <t>には、</t>
    </r>
    <rPh sb="1" eb="3">
      <t>モウモク</t>
    </rPh>
    <rPh sb="3" eb="4">
      <t>チュウ</t>
    </rPh>
    <rPh sb="4" eb="5">
      <t>ナド</t>
    </rPh>
    <rPh sb="6" eb="11">
      <t>センジュツテキユウイ</t>
    </rPh>
    <rPh sb="12" eb="14">
      <t>ゼッタイ</t>
    </rPh>
    <rPh sb="15" eb="16">
      <t>ト</t>
    </rPh>
    <rPh sb="19" eb="20">
      <t>トキ</t>
    </rPh>
    <rPh sb="21" eb="23">
      <t>コウゲキ</t>
    </rPh>
    <rPh sb="31" eb="32">
      <t>オオ</t>
    </rPh>
    <rPh sb="33" eb="34">
      <t>ス</t>
    </rPh>
    <rPh sb="36" eb="37">
      <t>トキ</t>
    </rPh>
    <phoneticPr fontId="1"/>
  </si>
  <si>
    <t>以上の点から導き出される　このパワーの効果的な使用ポイントは</t>
    <rPh sb="0" eb="2">
      <t>イジョウ</t>
    </rPh>
    <rPh sb="3" eb="4">
      <t>テン</t>
    </rPh>
    <rPh sb="6" eb="7">
      <t>ミチビ</t>
    </rPh>
    <rPh sb="8" eb="9">
      <t>ダ</t>
    </rPh>
    <rPh sb="19" eb="22">
      <t>コウカテキ</t>
    </rPh>
    <rPh sb="23" eb="25">
      <t>シヨウ</t>
    </rPh>
    <phoneticPr fontId="1"/>
  </si>
  <si>
    <t>⇒急所攻撃が成立するならば素直に攻撃すればＯＫ</t>
    <rPh sb="1" eb="3">
      <t>キュウショ</t>
    </rPh>
    <rPh sb="3" eb="5">
      <t>コウゲキ</t>
    </rPh>
    <rPh sb="6" eb="8">
      <t>セイリツ</t>
    </rPh>
    <rPh sb="13" eb="15">
      <t>スナオ</t>
    </rPh>
    <rPh sb="16" eb="18">
      <t>コウゲキ</t>
    </rPh>
    <phoneticPr fontId="1"/>
  </si>
  <si>
    <t>⇒多くの敵に対して狙えるポイントは本当に少ない</t>
    <rPh sb="1" eb="2">
      <t>オオ</t>
    </rPh>
    <rPh sb="4" eb="5">
      <t>テキ</t>
    </rPh>
    <rPh sb="6" eb="7">
      <t>タイ</t>
    </rPh>
    <rPh sb="9" eb="10">
      <t>ネラ</t>
    </rPh>
    <rPh sb="17" eb="19">
      <t>ホントウ</t>
    </rPh>
    <rPh sb="20" eb="21">
      <t>スク</t>
    </rPh>
    <phoneticPr fontId="1"/>
  </si>
  <si>
    <r>
      <t>　</t>
    </r>
    <r>
      <rPr>
        <b/>
        <sz val="11"/>
        <color rgb="FFFF0000"/>
        <rFont val="ＭＳ Ｐゴシック"/>
        <family val="3"/>
        <charset val="128"/>
        <scheme val="minor"/>
      </rPr>
      <t>盲目中は本当に役立たず</t>
    </r>
    <r>
      <rPr>
        <sz val="11"/>
        <color theme="1"/>
        <rFont val="ＭＳ Ｐゴシック"/>
        <family val="2"/>
        <charset val="128"/>
        <scheme val="minor"/>
      </rPr>
      <t>であるハルトが　ちょっとでも挽回するチャンスと言える。</t>
    </r>
    <rPh sb="1" eb="3">
      <t>モウモク</t>
    </rPh>
    <rPh sb="3" eb="4">
      <t>チュウ</t>
    </rPh>
    <rPh sb="5" eb="7">
      <t>ホントウ</t>
    </rPh>
    <rPh sb="8" eb="10">
      <t>ヤクタ</t>
    </rPh>
    <rPh sb="26" eb="28">
      <t>バンカイ</t>
    </rPh>
    <rPh sb="35" eb="36">
      <t>イ</t>
    </rPh>
    <phoneticPr fontId="1"/>
  </si>
  <si>
    <r>
      <t>　単純に</t>
    </r>
    <r>
      <rPr>
        <b/>
        <sz val="11"/>
        <color rgb="FFFF0000"/>
        <rFont val="ＭＳ Ｐゴシック"/>
        <family val="3"/>
        <charset val="128"/>
        <scheme val="minor"/>
      </rPr>
      <t>盲目したら機械的に狙う</t>
    </r>
    <r>
      <rPr>
        <sz val="11"/>
        <color theme="1"/>
        <rFont val="ＭＳ Ｐゴシック"/>
        <family val="2"/>
        <charset val="128"/>
        <scheme val="minor"/>
      </rPr>
      <t>位で　ちょうどいいかもしれない。</t>
    </r>
    <rPh sb="1" eb="3">
      <t>タンジュン</t>
    </rPh>
    <rPh sb="4" eb="6">
      <t>モウモク</t>
    </rPh>
    <rPh sb="9" eb="12">
      <t>キカイテキ</t>
    </rPh>
    <rPh sb="13" eb="14">
      <t>ネラ</t>
    </rPh>
    <rPh sb="15" eb="16">
      <t>クライ</t>
    </rPh>
    <phoneticPr fontId="1"/>
  </si>
  <si>
    <t>⇒当たり前だが、敵はハルトよりも普通は攻撃力が低い</t>
    <rPh sb="1" eb="2">
      <t>ア</t>
    </rPh>
    <rPh sb="4" eb="5">
      <t>マエ</t>
    </rPh>
    <rPh sb="8" eb="9">
      <t>テキ</t>
    </rPh>
    <rPh sb="16" eb="18">
      <t>フツウ</t>
    </rPh>
    <rPh sb="19" eb="22">
      <t>コウゲキリョク</t>
    </rPh>
    <rPh sb="23" eb="24">
      <t>ヒク</t>
    </rPh>
    <phoneticPr fontId="1"/>
  </si>
  <si>
    <t>⇒敵がある程度固まっていないと　あまり誘発できない</t>
    <rPh sb="1" eb="2">
      <t>テキ</t>
    </rPh>
    <rPh sb="5" eb="7">
      <t>テイド</t>
    </rPh>
    <rPh sb="7" eb="8">
      <t>カタ</t>
    </rPh>
    <rPh sb="19" eb="21">
      <t>ユウハツ</t>
    </rPh>
    <phoneticPr fontId="1"/>
  </si>
  <si>
    <t>⇒移動アクションの時点で誘発したら全く意味無し</t>
    <rPh sb="1" eb="3">
      <t>イドウ</t>
    </rPh>
    <rPh sb="9" eb="11">
      <t>ジテン</t>
    </rPh>
    <rPh sb="12" eb="14">
      <t>ユウハツ</t>
    </rPh>
    <rPh sb="17" eb="18">
      <t>マッタ</t>
    </rPh>
    <rPh sb="19" eb="21">
      <t>イミ</t>
    </rPh>
    <rPh sb="21" eb="22">
      <t>ナ</t>
    </rPh>
    <phoneticPr fontId="1"/>
  </si>
  <si>
    <t>　この場合は、複数の敵に対して狙えればそれでＯＫ！程度のノリで　あまり数にこだわらないのが吉か？</t>
    <rPh sb="3" eb="5">
      <t>バアイ</t>
    </rPh>
    <rPh sb="7" eb="9">
      <t>フクスウ</t>
    </rPh>
    <rPh sb="10" eb="11">
      <t>テキ</t>
    </rPh>
    <rPh sb="12" eb="13">
      <t>タイ</t>
    </rPh>
    <rPh sb="15" eb="16">
      <t>ネラ</t>
    </rPh>
    <rPh sb="25" eb="27">
      <t>テイド</t>
    </rPh>
    <rPh sb="35" eb="36">
      <t>カズ</t>
    </rPh>
    <rPh sb="45" eb="46">
      <t>キチ</t>
    </rPh>
    <phoneticPr fontId="1"/>
  </si>
  <si>
    <r>
      <t>　</t>
    </r>
    <r>
      <rPr>
        <b/>
        <sz val="11"/>
        <color rgb="FFFF0000"/>
        <rFont val="ＭＳ Ｐゴシック"/>
        <family val="3"/>
        <charset val="128"/>
        <scheme val="minor"/>
      </rPr>
      <t>移動系のペナルティにだけは要注意！</t>
    </r>
    <rPh sb="1" eb="3">
      <t>イドウ</t>
    </rPh>
    <rPh sb="3" eb="4">
      <t>ケイ</t>
    </rPh>
    <rPh sb="14" eb="17">
      <t>ヨウチュウイ</t>
    </rPh>
    <phoneticPr fontId="1"/>
  </si>
  <si>
    <t>　ダメ元で攻撃するよりかは、コレで　お茶を濁すのも　時間稼ぎとしては全然アリ！</t>
    <rPh sb="3" eb="4">
      <t>モト</t>
    </rPh>
    <rPh sb="5" eb="7">
      <t>コウゲキ</t>
    </rPh>
    <rPh sb="19" eb="20">
      <t>チャ</t>
    </rPh>
    <rPh sb="21" eb="22">
      <t>ニゴ</t>
    </rPh>
    <rPh sb="26" eb="28">
      <t>ジカン</t>
    </rPh>
    <rPh sb="28" eb="29">
      <t>カセ</t>
    </rPh>
    <rPh sb="34" eb="36">
      <t>ゼンゼン</t>
    </rPh>
    <phoneticPr fontId="1"/>
  </si>
  <si>
    <t>②パラディンがマークを大量にバラ撒けた時</t>
    <rPh sb="11" eb="13">
      <t>タイリョウ</t>
    </rPh>
    <rPh sb="16" eb="17">
      <t>マ</t>
    </rPh>
    <rPh sb="19" eb="20">
      <t>トキ</t>
    </rPh>
    <phoneticPr fontId="1"/>
  </si>
  <si>
    <r>
      <t>　しかし、火力を重視した為に</t>
    </r>
    <r>
      <rPr>
        <b/>
        <sz val="11"/>
        <color rgb="FFFF0000"/>
        <rFont val="ＭＳ Ｐゴシック"/>
        <family val="3"/>
        <charset val="128"/>
        <scheme val="minor"/>
      </rPr>
      <t>敵の腹切りにまでマークの－２が適用されてしまう</t>
    </r>
    <r>
      <rPr>
        <sz val="11"/>
        <color theme="1"/>
        <rFont val="ＭＳ Ｐゴシック"/>
        <family val="2"/>
        <charset val="128"/>
        <scheme val="minor"/>
      </rPr>
      <t>のが難点・・・。</t>
    </r>
    <rPh sb="5" eb="7">
      <t>カリョク</t>
    </rPh>
    <rPh sb="8" eb="10">
      <t>ジュウシ</t>
    </rPh>
    <rPh sb="12" eb="13">
      <t>タメ</t>
    </rPh>
    <rPh sb="14" eb="15">
      <t>テキ</t>
    </rPh>
    <rPh sb="16" eb="18">
      <t>ハラキ</t>
    </rPh>
    <rPh sb="29" eb="31">
      <t>テキヨウ</t>
    </rPh>
    <rPh sb="39" eb="41">
      <t>ナンテン</t>
    </rPh>
    <phoneticPr fontId="1"/>
  </si>
  <si>
    <r>
      <t>　基本的に</t>
    </r>
    <r>
      <rPr>
        <b/>
        <sz val="11"/>
        <color rgb="FFFF0000"/>
        <rFont val="ＭＳ Ｐゴシック"/>
        <family val="3"/>
        <charset val="128"/>
        <scheme val="minor"/>
      </rPr>
      <t>無限回よりも火力が大幅に落ちる</t>
    </r>
    <r>
      <rPr>
        <sz val="11"/>
        <color theme="1"/>
        <rFont val="ＭＳ Ｐゴシック"/>
        <family val="2"/>
        <charset val="128"/>
        <scheme val="minor"/>
      </rPr>
      <t>点が最大のネックだったが、</t>
    </r>
    <rPh sb="1" eb="4">
      <t>キホンテキ</t>
    </rPh>
    <rPh sb="5" eb="7">
      <t>ムゲン</t>
    </rPh>
    <rPh sb="7" eb="8">
      <t>カイ</t>
    </rPh>
    <rPh sb="11" eb="13">
      <t>カリョク</t>
    </rPh>
    <rPh sb="14" eb="16">
      <t>オオハバ</t>
    </rPh>
    <rPh sb="17" eb="18">
      <t>オ</t>
    </rPh>
    <rPh sb="20" eb="21">
      <t>テン</t>
    </rPh>
    <rPh sb="22" eb="24">
      <t>サイダイ</t>
    </rPh>
    <phoneticPr fontId="1"/>
  </si>
  <si>
    <r>
      <t>　その欠点である</t>
    </r>
    <r>
      <rPr>
        <b/>
        <sz val="11"/>
        <color rgb="FFFF0000"/>
        <rFont val="ＭＳ Ｐゴシック"/>
        <family val="3"/>
        <charset val="128"/>
        <scheme val="minor"/>
      </rPr>
      <t>火力不足を充分に補うダメージ重視の超攻撃的プラン</t>
    </r>
    <r>
      <rPr>
        <sz val="11"/>
        <color theme="1"/>
        <rFont val="ＭＳ Ｐゴシック"/>
        <family val="2"/>
        <charset val="128"/>
        <scheme val="minor"/>
      </rPr>
      <t>。</t>
    </r>
    <rPh sb="3" eb="5">
      <t>ケッテン</t>
    </rPh>
    <rPh sb="8" eb="10">
      <t>カリョク</t>
    </rPh>
    <rPh sb="10" eb="12">
      <t>ブソク</t>
    </rPh>
    <rPh sb="13" eb="15">
      <t>ジュウブン</t>
    </rPh>
    <rPh sb="16" eb="17">
      <t>オギナ</t>
    </rPh>
    <rPh sb="22" eb="24">
      <t>ジュウシ</t>
    </rPh>
    <rPh sb="25" eb="26">
      <t>チョウ</t>
    </rPh>
    <rPh sb="26" eb="29">
      <t>コウゲキテキ</t>
    </rPh>
    <phoneticPr fontId="1"/>
  </si>
  <si>
    <t>　確定ダメージが入るとはいえ、効果の程は未知数？</t>
    <rPh sb="1" eb="3">
      <t>カクテイ</t>
    </rPh>
    <rPh sb="8" eb="9">
      <t>ハイ</t>
    </rPh>
    <rPh sb="15" eb="17">
      <t>コウカ</t>
    </rPh>
    <rPh sb="18" eb="19">
      <t>ホド</t>
    </rPh>
    <rPh sb="20" eb="23">
      <t>ミチスウ</t>
    </rPh>
    <phoneticPr fontId="1"/>
  </si>
  <si>
    <t>①ハルトの”攻撃能力”だけが　”泣きたくなる位に低下”した時</t>
    <rPh sb="6" eb="8">
      <t>コウゲキ</t>
    </rPh>
    <rPh sb="8" eb="10">
      <t>ノウリョク</t>
    </rPh>
    <rPh sb="16" eb="17">
      <t>ナ</t>
    </rPh>
    <rPh sb="22" eb="23">
      <t>クライ</t>
    </rPh>
    <rPh sb="24" eb="26">
      <t>テイカ</t>
    </rPh>
    <rPh sb="29" eb="30">
      <t>トキ</t>
    </rPh>
    <phoneticPr fontId="1"/>
  </si>
  <si>
    <t>　この場合は、出来る限り多くの敵に対して是非狙いたいが、</t>
    <rPh sb="3" eb="5">
      <t>バアイ</t>
    </rPh>
    <rPh sb="7" eb="9">
      <t>デキ</t>
    </rPh>
    <rPh sb="10" eb="11">
      <t>カギ</t>
    </rPh>
    <rPh sb="12" eb="13">
      <t>オオ</t>
    </rPh>
    <rPh sb="15" eb="16">
      <t>テキ</t>
    </rPh>
    <rPh sb="17" eb="18">
      <t>タイ</t>
    </rPh>
    <rPh sb="20" eb="22">
      <t>ゼヒ</t>
    </rPh>
    <rPh sb="22" eb="23">
      <t>ネラ</t>
    </rPh>
    <phoneticPr fontId="1"/>
  </si>
  <si>
    <t>より多くの敵から機会攻撃を誘発する為の細かいテクニック</t>
    <rPh sb="2" eb="3">
      <t>オオ</t>
    </rPh>
    <rPh sb="17" eb="18">
      <t>タメ</t>
    </rPh>
    <rPh sb="19" eb="20">
      <t>コマ</t>
    </rPh>
    <phoneticPr fontId="1"/>
  </si>
  <si>
    <t>　・大型クリ―チャ―の股下を潜れば移動距離を短縮できるかも</t>
    <rPh sb="2" eb="4">
      <t>オオガタ</t>
    </rPh>
    <rPh sb="11" eb="13">
      <t>マタシタ</t>
    </rPh>
    <rPh sb="14" eb="15">
      <t>クグ</t>
    </rPh>
    <rPh sb="17" eb="19">
      <t>イドウ</t>
    </rPh>
    <rPh sb="19" eb="21">
      <t>キョリ</t>
    </rPh>
    <rPh sb="22" eb="24">
      <t>タンシュク</t>
    </rPh>
    <phoneticPr fontId="1"/>
  </si>
  <si>
    <t>　・敵と敵の隙間に無理矢理入り込むのも可能、戦術的優位を取られるが全然ＯＫ</t>
    <rPh sb="2" eb="3">
      <t>テキ</t>
    </rPh>
    <rPh sb="4" eb="5">
      <t>テキ</t>
    </rPh>
    <rPh sb="6" eb="8">
      <t>スキマ</t>
    </rPh>
    <rPh sb="9" eb="13">
      <t>ムリヤリ</t>
    </rPh>
    <rPh sb="13" eb="14">
      <t>ハイ</t>
    </rPh>
    <rPh sb="15" eb="16">
      <t>コ</t>
    </rPh>
    <rPh sb="19" eb="21">
      <t>カノウ</t>
    </rPh>
    <rPh sb="22" eb="25">
      <t>センジュツテキ</t>
    </rPh>
    <rPh sb="25" eb="27">
      <t>ユウイ</t>
    </rPh>
    <rPh sb="28" eb="29">
      <t>ト</t>
    </rPh>
    <rPh sb="33" eb="35">
      <t>ゼンゼン</t>
    </rPh>
    <phoneticPr fontId="1"/>
  </si>
  <si>
    <t>　　ペナルティとして移動困難扱いになる点には注意！</t>
    <rPh sb="10" eb="12">
      <t>イドウ</t>
    </rPh>
    <rPh sb="12" eb="14">
      <t>コンナン</t>
    </rPh>
    <rPh sb="14" eb="15">
      <t>アツカ</t>
    </rPh>
    <rPh sb="19" eb="20">
      <t>テン</t>
    </rPh>
    <rPh sb="22" eb="24">
      <t>チュウイ</t>
    </rPh>
    <phoneticPr fontId="1"/>
  </si>
  <si>
    <t>　・機会攻撃の間合い持ちに対しては隣接する必要が全く無い</t>
    <rPh sb="2" eb="4">
      <t>キカイ</t>
    </rPh>
    <rPh sb="4" eb="6">
      <t>コウゲキ</t>
    </rPh>
    <rPh sb="7" eb="9">
      <t>マア</t>
    </rPh>
    <rPh sb="10" eb="11">
      <t>モ</t>
    </rPh>
    <rPh sb="13" eb="14">
      <t>タイ</t>
    </rPh>
    <rPh sb="17" eb="19">
      <t>リンセツ</t>
    </rPh>
    <rPh sb="21" eb="23">
      <t>ヒツヨウ</t>
    </rPh>
    <rPh sb="24" eb="25">
      <t>マッタ</t>
    </rPh>
    <rPh sb="26" eb="27">
      <t>ナ</t>
    </rPh>
    <phoneticPr fontId="1"/>
  </si>
  <si>
    <t>②機会攻撃の誘発を期待できる敵は結局、後々他の手段でも戦術的優位を取り易い</t>
    <rPh sb="1" eb="3">
      <t>キカイ</t>
    </rPh>
    <rPh sb="3" eb="5">
      <t>コウゲキ</t>
    </rPh>
    <rPh sb="6" eb="8">
      <t>ユウハツ</t>
    </rPh>
    <rPh sb="9" eb="11">
      <t>キタイ</t>
    </rPh>
    <rPh sb="14" eb="15">
      <t>テキ</t>
    </rPh>
    <rPh sb="16" eb="18">
      <t>ケッキョク</t>
    </rPh>
    <rPh sb="19" eb="21">
      <t>ノチノチ</t>
    </rPh>
    <rPh sb="21" eb="22">
      <t>ホカ</t>
    </rPh>
    <rPh sb="23" eb="25">
      <t>シュダン</t>
    </rPh>
    <rPh sb="27" eb="30">
      <t>センジュツテキ</t>
    </rPh>
    <rPh sb="30" eb="32">
      <t>ユウイ</t>
    </rPh>
    <rPh sb="33" eb="34">
      <t>ト</t>
    </rPh>
    <rPh sb="35" eb="36">
      <t>ヤス</t>
    </rPh>
    <phoneticPr fontId="1"/>
  </si>
  <si>
    <t>　・戦術的優位が全く不要</t>
    <rPh sb="2" eb="5">
      <t>センジュツテキ</t>
    </rPh>
    <rPh sb="5" eb="7">
      <t>ユウイ</t>
    </rPh>
    <rPh sb="8" eb="9">
      <t>マッタ</t>
    </rPh>
    <rPh sb="10" eb="12">
      <t>フヨウ</t>
    </rPh>
    <phoneticPr fontId="1"/>
  </si>
  <si>
    <t>　・急所攻撃を入れるよりもダメージが低い</t>
    <rPh sb="2" eb="4">
      <t>キュウショ</t>
    </rPh>
    <rPh sb="4" eb="6">
      <t>コウゲキ</t>
    </rPh>
    <rPh sb="7" eb="8">
      <t>イ</t>
    </rPh>
    <rPh sb="18" eb="19">
      <t>ヒク</t>
    </rPh>
    <phoneticPr fontId="1"/>
  </si>
  <si>
    <t>　・最大で６マスしか移動できない</t>
    <rPh sb="2" eb="4">
      <t>サイダイ</t>
    </rPh>
    <rPh sb="10" eb="12">
      <t>イドウ</t>
    </rPh>
    <phoneticPr fontId="1"/>
  </si>
  <si>
    <t>　・機会攻撃は　１ターン中　１回ポッキリ</t>
    <rPh sb="2" eb="4">
      <t>キカイ</t>
    </rPh>
    <rPh sb="4" eb="6">
      <t>コウゲキ</t>
    </rPh>
    <rPh sb="12" eb="13">
      <t>チュウ</t>
    </rPh>
    <rPh sb="15" eb="16">
      <t>カイ</t>
    </rPh>
    <phoneticPr fontId="1"/>
  </si>
  <si>
    <t>　・移動系のペナルティは常にモロ被り</t>
    <rPh sb="2" eb="4">
      <t>イドウ</t>
    </rPh>
    <rPh sb="4" eb="5">
      <t>ケイ</t>
    </rPh>
    <rPh sb="12" eb="13">
      <t>ツネ</t>
    </rPh>
    <rPh sb="16" eb="17">
      <t>カブ</t>
    </rPh>
    <phoneticPr fontId="1"/>
  </si>
  <si>
    <t>　・ハルトの攻撃能力は低下しても無問題</t>
    <rPh sb="6" eb="8">
      <t>コウゲキ</t>
    </rPh>
    <rPh sb="8" eb="10">
      <t>ノウリョク</t>
    </rPh>
    <rPh sb="11" eb="13">
      <t>テイカ</t>
    </rPh>
    <rPh sb="16" eb="17">
      <t>ム</t>
    </rPh>
    <rPh sb="17" eb="19">
      <t>モンダイ</t>
    </rPh>
    <phoneticPr fontId="1"/>
  </si>
  <si>
    <t>　・敵が幻惑、盲目しては全く効果無し</t>
    <rPh sb="2" eb="3">
      <t>テキ</t>
    </rPh>
    <rPh sb="4" eb="6">
      <t>ゲンワク</t>
    </rPh>
    <rPh sb="7" eb="9">
      <t>モウモク</t>
    </rPh>
    <rPh sb="12" eb="13">
      <t>マッタ</t>
    </rPh>
    <rPh sb="14" eb="16">
      <t>コウカ</t>
    </rPh>
    <rPh sb="16" eb="17">
      <t>ナ</t>
    </rPh>
    <phoneticPr fontId="1"/>
  </si>
  <si>
    <t>　味方の強制移動パワーでフォローしてもらわないと　多数に対しては　なかなか狙いにくそう。</t>
    <rPh sb="1" eb="3">
      <t>ミカタ</t>
    </rPh>
    <rPh sb="4" eb="6">
      <t>キョウセイ</t>
    </rPh>
    <rPh sb="6" eb="8">
      <t>イドウ</t>
    </rPh>
    <rPh sb="25" eb="27">
      <t>タスウ</t>
    </rPh>
    <rPh sb="28" eb="29">
      <t>タイ</t>
    </rPh>
    <rPh sb="37" eb="38">
      <t>ネラ</t>
    </rPh>
    <phoneticPr fontId="1"/>
  </si>
  <si>
    <r>
      <t>　　君がダガーを用いて</t>
    </r>
    <r>
      <rPr>
        <b/>
        <sz val="11"/>
        <color rgb="FFFF0000"/>
        <rFont val="ＭＳ Ｐゴシック"/>
        <family val="3"/>
        <charset val="128"/>
        <scheme val="minor"/>
      </rPr>
      <t>クリティカル・ヒット</t>
    </r>
    <r>
      <rPr>
        <sz val="11"/>
        <color theme="1"/>
        <rFont val="ＭＳ Ｐゴシック"/>
        <family val="2"/>
        <charset val="128"/>
        <scheme val="minor"/>
      </rPr>
      <t>を与えたなら、</t>
    </r>
    <rPh sb="2" eb="3">
      <t>キミ</t>
    </rPh>
    <rPh sb="8" eb="9">
      <t>モチ</t>
    </rPh>
    <rPh sb="22" eb="23">
      <t>アタ</t>
    </rPh>
    <phoneticPr fontId="1"/>
  </si>
  <si>
    <r>
      <t>　　目標は</t>
    </r>
    <r>
      <rPr>
        <b/>
        <sz val="11"/>
        <color rgb="FFFF0000"/>
        <rFont val="ＭＳ Ｐゴシック"/>
        <family val="3"/>
        <charset val="128"/>
        <scheme val="minor"/>
      </rPr>
      <t>君の次のT終まで君に戦術的優位</t>
    </r>
    <r>
      <rPr>
        <sz val="11"/>
        <rFont val="ＭＳ Ｐゴシック"/>
        <family val="3"/>
        <charset val="128"/>
        <scheme val="minor"/>
      </rPr>
      <t>を与える。</t>
    </r>
    <phoneticPr fontId="1"/>
  </si>
  <si>
    <r>
      <t>★：有利生む短剣（PHB171）</t>
    </r>
    <r>
      <rPr>
        <b/>
        <sz val="12"/>
        <color rgb="FF00B0F0"/>
        <rFont val="ＭＳ Ｐゴシック"/>
        <family val="3"/>
        <charset val="128"/>
        <scheme val="minor"/>
      </rPr>
      <t>Lv16からね。</t>
    </r>
    <rPh sb="2" eb="4">
      <t>ユウリ</t>
    </rPh>
    <rPh sb="4" eb="5">
      <t>ウ</t>
    </rPh>
    <rPh sb="6" eb="8">
      <t>タンケン</t>
    </rPh>
    <phoneticPr fontId="1"/>
  </si>
  <si>
    <t>Lv</t>
    <phoneticPr fontId="1"/>
  </si>
  <si>
    <t>ブラッディ・パス</t>
    <phoneticPr fontId="1"/>
  </si>
  <si>
    <t>ローグ／攻撃／１５　（ＰＨＢ１６６）</t>
    <phoneticPr fontId="1"/>
  </si>
  <si>
    <t>キーワード</t>
    <phoneticPr fontId="1"/>
  </si>
  <si>
    <t>[一日毎]◆[武勇]</t>
    <phoneticPr fontId="1"/>
  </si>
  <si>
    <t>アクション</t>
    <phoneticPr fontId="1"/>
  </si>
  <si>
    <r>
      <t>使用者は</t>
    </r>
    <r>
      <rPr>
        <b/>
        <sz val="11"/>
        <color rgb="FFFF0000"/>
        <rFont val="ＭＳ Ｐゴシック"/>
        <family val="3"/>
        <charset val="128"/>
        <scheme val="minor"/>
      </rPr>
      <t>自分の移動速度までの移動</t>
    </r>
    <r>
      <rPr>
        <sz val="11"/>
        <color theme="1"/>
        <rFont val="ＭＳ Ｐゴシック"/>
        <family val="2"/>
        <charset val="128"/>
        <scheme val="minor"/>
      </rPr>
      <t>を行う。</t>
    </r>
    <rPh sb="0" eb="2">
      <t>シヨウ</t>
    </rPh>
    <rPh sb="2" eb="3">
      <t>シャ</t>
    </rPh>
    <rPh sb="4" eb="6">
      <t>ジブン</t>
    </rPh>
    <rPh sb="7" eb="9">
      <t>イドウ</t>
    </rPh>
    <rPh sb="9" eb="11">
      <t>ソクド</t>
    </rPh>
    <rPh sb="14" eb="16">
      <t>イドウ</t>
    </rPh>
    <rPh sb="17" eb="18">
      <t>オコナ</t>
    </rPh>
    <phoneticPr fontId="1"/>
  </si>
  <si>
    <t>この移動によって使用者に機会攻撃を行える敵はすべて、使用者にではなく、</t>
    <rPh sb="2" eb="4">
      <t>イドウ</t>
    </rPh>
    <rPh sb="8" eb="11">
      <t>シヨウシャ</t>
    </rPh>
    <rPh sb="12" eb="14">
      <t>キカイ</t>
    </rPh>
    <rPh sb="14" eb="16">
      <t>コウゲキ</t>
    </rPh>
    <rPh sb="17" eb="18">
      <t>オコナ</t>
    </rPh>
    <rPh sb="20" eb="21">
      <t>テキ</t>
    </rPh>
    <rPh sb="26" eb="29">
      <t>シヨウシャ</t>
    </rPh>
    <phoneticPr fontId="1"/>
  </si>
  <si>
    <r>
      <t>その</t>
    </r>
    <r>
      <rPr>
        <b/>
        <sz val="11"/>
        <color rgb="FFFF0000"/>
        <rFont val="ＭＳ Ｐゴシック"/>
        <family val="3"/>
        <charset val="128"/>
        <scheme val="minor"/>
      </rPr>
      <t>敵自信を目標として機会攻撃</t>
    </r>
    <r>
      <rPr>
        <sz val="11"/>
        <color theme="1"/>
        <rFont val="ＭＳ Ｐゴシック"/>
        <family val="2"/>
        <charset val="128"/>
        <scheme val="minor"/>
      </rPr>
      <t>を行う。この移動によって使用者に機会攻撃を</t>
    </r>
    <rPh sb="6" eb="8">
      <t>モクヒョウ</t>
    </rPh>
    <rPh sb="11" eb="13">
      <t>キカイ</t>
    </rPh>
    <rPh sb="13" eb="15">
      <t>コウゲキ</t>
    </rPh>
    <rPh sb="16" eb="17">
      <t>オコナ</t>
    </rPh>
    <rPh sb="21" eb="23">
      <t>イドウ</t>
    </rPh>
    <rPh sb="27" eb="30">
      <t>シヨウシャ</t>
    </rPh>
    <rPh sb="31" eb="33">
      <t>キカイ</t>
    </rPh>
    <rPh sb="33" eb="35">
      <t>コウゲキ</t>
    </rPh>
    <phoneticPr fontId="1"/>
  </si>
  <si>
    <r>
      <t>行える敵は</t>
    </r>
    <r>
      <rPr>
        <b/>
        <sz val="11"/>
        <color rgb="FFFF0000"/>
        <rFont val="ＭＳ Ｐゴシック"/>
        <family val="3"/>
        <charset val="128"/>
        <scheme val="minor"/>
      </rPr>
      <t>すべて機会攻撃を行わねばならず</t>
    </r>
    <r>
      <rPr>
        <sz val="11"/>
        <rFont val="ＭＳ Ｐゴシック"/>
        <family val="3"/>
        <charset val="128"/>
        <scheme val="minor"/>
      </rPr>
      <t>、自分自身を傷つけるのが嫌だ</t>
    </r>
    <rPh sb="0" eb="1">
      <t>オコナ</t>
    </rPh>
    <rPh sb="3" eb="4">
      <t>テキ</t>
    </rPh>
    <rPh sb="8" eb="10">
      <t>キカイ</t>
    </rPh>
    <rPh sb="10" eb="12">
      <t>コウゲキ</t>
    </rPh>
    <rPh sb="13" eb="14">
      <t>オコナ</t>
    </rPh>
    <rPh sb="21" eb="23">
      <t>ジブン</t>
    </rPh>
    <rPh sb="23" eb="25">
      <t>ジシン</t>
    </rPh>
    <rPh sb="26" eb="27">
      <t>キズ</t>
    </rPh>
    <rPh sb="32" eb="33">
      <t>イヤ</t>
    </rPh>
    <phoneticPr fontId="1"/>
  </si>
  <si>
    <r>
      <t>からといって</t>
    </r>
    <r>
      <rPr>
        <b/>
        <sz val="11"/>
        <color rgb="FFFF0000"/>
        <rFont val="ＭＳ Ｐゴシック"/>
        <family val="3"/>
        <charset val="128"/>
        <scheme val="minor"/>
      </rPr>
      <t>機会攻撃を行わない事はできない</t>
    </r>
    <r>
      <rPr>
        <sz val="11"/>
        <color theme="1"/>
        <rFont val="ＭＳ Ｐゴシック"/>
        <family val="2"/>
        <charset val="128"/>
        <scheme val="minor"/>
      </rPr>
      <t>。</t>
    </r>
    <rPh sb="6" eb="8">
      <t>キカイ</t>
    </rPh>
    <rPh sb="8" eb="10">
      <t>コウゲキ</t>
    </rPh>
    <rPh sb="11" eb="12">
      <t>オコナ</t>
    </rPh>
    <rPh sb="15" eb="16">
      <t>コト</t>
    </rPh>
    <phoneticPr fontId="1"/>
  </si>
  <si>
    <t>　　機会攻撃に対するACに＋２の種族ボーナスを得る。</t>
    <rPh sb="2" eb="4">
      <t>キカイ</t>
    </rPh>
    <rPh sb="4" eb="6">
      <t>コウゲキ</t>
    </rPh>
    <rPh sb="7" eb="8">
      <t>タイ</t>
    </rPh>
    <rPh sb="16" eb="18">
      <t>シュゾク</t>
    </rPh>
    <rPh sb="23" eb="24">
      <t>エ</t>
    </rPh>
    <phoneticPr fontId="1"/>
  </si>
  <si>
    <t>威嚇</t>
    <rPh sb="0" eb="2">
      <t>イカク</t>
    </rPh>
    <phoneticPr fontId="1"/>
  </si>
  <si>
    <r>
      <rPr>
        <b/>
        <sz val="11"/>
        <color rgb="FFFF0000"/>
        <rFont val="ＭＳ Ｐゴシック"/>
        <family val="3"/>
        <charset val="128"/>
        <scheme val="minor"/>
      </rPr>
      <t>&lt;威圧&gt;</t>
    </r>
    <r>
      <rPr>
        <sz val="11"/>
        <color theme="1"/>
        <rFont val="ＭＳ Ｐゴシック"/>
        <family val="2"/>
        <charset val="128"/>
        <scheme val="minor"/>
      </rPr>
      <t>技能を有するクリーチャーが[威嚇]キーワードを有するパワーによって</t>
    </r>
    <r>
      <rPr>
        <b/>
        <sz val="11"/>
        <color rgb="FFFF0000"/>
        <rFont val="ＭＳ Ｐゴシック"/>
        <family val="3"/>
        <charset val="128"/>
        <scheme val="minor"/>
      </rPr>
      <t>ダメ―ジを</t>
    </r>
    <rPh sb="1" eb="3">
      <t>イアツ</t>
    </rPh>
    <rPh sb="4" eb="6">
      <t>ギノウ</t>
    </rPh>
    <rPh sb="7" eb="8">
      <t>ユウ</t>
    </rPh>
    <rPh sb="18" eb="20">
      <t>イカク</t>
    </rPh>
    <rPh sb="27" eb="28">
      <t>ユウ</t>
    </rPh>
    <phoneticPr fontId="1"/>
  </si>
  <si>
    <r>
      <rPr>
        <b/>
        <sz val="11"/>
        <color rgb="FFFF0000"/>
        <rFont val="ＭＳ Ｐゴシック"/>
        <family val="3"/>
        <charset val="128"/>
        <scheme val="minor"/>
      </rPr>
      <t>与えた</t>
    </r>
    <r>
      <rPr>
        <sz val="11"/>
        <color theme="1"/>
        <rFont val="ＭＳ Ｐゴシック"/>
        <family val="2"/>
        <charset val="128"/>
        <scheme val="minor"/>
      </rPr>
      <t>なら、目標は</t>
    </r>
    <r>
      <rPr>
        <b/>
        <sz val="11"/>
        <color rgb="FFFF0000"/>
        <rFont val="ＭＳ Ｐゴシック"/>
        <family val="3"/>
        <charset val="128"/>
        <scheme val="minor"/>
      </rPr>
      <t>次の自T終まで攻撃Rに－２</t>
    </r>
    <r>
      <rPr>
        <sz val="11"/>
        <color theme="1"/>
        <rFont val="ＭＳ Ｐゴシック"/>
        <family val="2"/>
        <charset val="128"/>
        <scheme val="minor"/>
      </rPr>
      <t>のペナルティを受ける。</t>
    </r>
    <rPh sb="0" eb="1">
      <t>アタ</t>
    </rPh>
    <rPh sb="6" eb="8">
      <t>モクヒョウ</t>
    </rPh>
    <rPh sb="9" eb="10">
      <t>ツギ</t>
    </rPh>
    <rPh sb="11" eb="12">
      <t>ジ</t>
    </rPh>
    <rPh sb="13" eb="14">
      <t>シュウ</t>
    </rPh>
    <rPh sb="16" eb="18">
      <t>コウゲキ</t>
    </rPh>
    <rPh sb="29" eb="30">
      <t>ウ</t>
    </rPh>
    <phoneticPr fontId="1"/>
  </si>
  <si>
    <r>
      <rPr>
        <b/>
        <sz val="11"/>
        <color rgb="FFFF0000"/>
        <rFont val="ＭＳ Ｐゴシック"/>
        <family val="3"/>
        <charset val="128"/>
        <scheme val="minor"/>
      </rPr>
      <t>[恐怖]に対する完全耐性</t>
    </r>
    <r>
      <rPr>
        <sz val="11"/>
        <color theme="1"/>
        <rFont val="ＭＳ Ｐゴシック"/>
        <family val="2"/>
        <charset val="128"/>
        <scheme val="minor"/>
      </rPr>
      <t>を有するクリーチャーはこのペナルティを受けない。</t>
    </r>
    <rPh sb="1" eb="3">
      <t>キョウフ</t>
    </rPh>
    <rPh sb="5" eb="6">
      <t>タイ</t>
    </rPh>
    <rPh sb="8" eb="10">
      <t>カンゼン</t>
    </rPh>
    <rPh sb="10" eb="12">
      <t>タイセイ</t>
    </rPh>
    <rPh sb="13" eb="14">
      <t>ユウ</t>
    </rPh>
    <rPh sb="31" eb="32">
      <t>ウ</t>
    </rPh>
    <phoneticPr fontId="1"/>
  </si>
  <si>
    <t>☆：精緻なる短剣(PHB171）</t>
    <rPh sb="2" eb="4">
      <t>セイチ</t>
    </rPh>
    <rPh sb="6" eb="8">
      <t>タンケン</t>
    </rPh>
    <phoneticPr fontId="1"/>
  </si>
  <si>
    <t>一応　実戦的？　　無理矢理　発動！　ダイア・レイディアンスのおまけ</t>
    <rPh sb="0" eb="2">
      <t>イチオウ</t>
    </rPh>
    <rPh sb="3" eb="6">
      <t>ジッセンテキ</t>
    </rPh>
    <rPh sb="9" eb="13">
      <t>ムリヤリ</t>
    </rPh>
    <rPh sb="14" eb="16">
      <t>ハツドウ</t>
    </rPh>
    <phoneticPr fontId="1"/>
  </si>
  <si>
    <r>
      <t>　　　　</t>
    </r>
    <r>
      <rPr>
        <b/>
        <sz val="14"/>
        <color rgb="FFFF0000"/>
        <rFont val="HGP教科書体"/>
        <family val="1"/>
        <charset val="128"/>
      </rPr>
      <t>特に</t>
    </r>
    <r>
      <rPr>
        <b/>
        <sz val="18"/>
        <color rgb="FFFF0000"/>
        <rFont val="HGP創英角ﾎﾟｯﾌﾟ体"/>
        <family val="3"/>
        <charset val="128"/>
      </rPr>
      <t>待機を使いたくなる間合いとモロ被り！</t>
    </r>
    <rPh sb="4" eb="5">
      <t>トク</t>
    </rPh>
    <rPh sb="6" eb="8">
      <t>タイキ</t>
    </rPh>
    <rPh sb="9" eb="10">
      <t>ツカ</t>
    </rPh>
    <rPh sb="15" eb="17">
      <t>マア</t>
    </rPh>
    <rPh sb="21" eb="22">
      <t>カブ</t>
    </rPh>
    <phoneticPr fontId="1"/>
  </si>
  <si>
    <t>無限回</t>
    <phoneticPr fontId="1"/>
  </si>
  <si>
    <t>ファスト･ハンズ</t>
    <phoneticPr fontId="1"/>
  </si>
  <si>
    <t>盗賊／汎用／２　（PHⅢ173）</t>
    <rPh sb="0" eb="2">
      <t>トウゾク</t>
    </rPh>
    <rPh sb="3" eb="5">
      <t>ハンヨウ</t>
    </rPh>
    <phoneticPr fontId="1"/>
  </si>
  <si>
    <t>[無限回]</t>
    <rPh sb="1" eb="3">
      <t>ムゲン</t>
    </rPh>
    <rPh sb="3" eb="4">
      <t>カイ</t>
    </rPh>
    <phoneticPr fontId="1"/>
  </si>
  <si>
    <t>フリー・アクション(特殊)</t>
    <rPh sb="10" eb="12">
      <t>トクシュ</t>
    </rPh>
    <phoneticPr fontId="1"/>
  </si>
  <si>
    <t>使用者は１つの武器を抜くか、しまう。</t>
    <rPh sb="0" eb="3">
      <t>シヨウシャ</t>
    </rPh>
    <rPh sb="7" eb="9">
      <t>ブキ</t>
    </rPh>
    <rPh sb="10" eb="11">
      <t>ヌ</t>
    </rPh>
    <phoneticPr fontId="1"/>
  </si>
  <si>
    <t>または、自分の接敵面にないし隣接するマスにある１つのアイテムを拾う。</t>
    <rPh sb="4" eb="6">
      <t>ジブン</t>
    </rPh>
    <rPh sb="7" eb="9">
      <t>セッテキ</t>
    </rPh>
    <rPh sb="9" eb="10">
      <t>メン</t>
    </rPh>
    <rPh sb="14" eb="16">
      <t>リンセツ</t>
    </rPh>
    <rPh sb="31" eb="32">
      <t>ヒロ</t>
    </rPh>
    <phoneticPr fontId="1"/>
  </si>
  <si>
    <t>または、１つのアイテムを取り出すか、しまう。</t>
    <rPh sb="12" eb="13">
      <t>ト</t>
    </rPh>
    <rPh sb="14" eb="15">
      <t>ダ</t>
    </rPh>
    <phoneticPr fontId="1"/>
  </si>
  <si>
    <t>１ラウンドにつき、使用１回制限！</t>
    <rPh sb="9" eb="11">
      <t>シヨウ</t>
    </rPh>
    <rPh sb="12" eb="13">
      <t>カイ</t>
    </rPh>
    <rPh sb="13" eb="15">
      <t>セイゲン</t>
    </rPh>
    <phoneticPr fontId="1"/>
  </si>
  <si>
    <t>必要な時に　必要な事を　フリーアクションでする、　ただそれだけ！</t>
    <rPh sb="0" eb="2">
      <t>ヒツヨウ</t>
    </rPh>
    <rPh sb="3" eb="4">
      <t>トキ</t>
    </rPh>
    <rPh sb="6" eb="8">
      <t>ヒツヨウ</t>
    </rPh>
    <rPh sb="9" eb="10">
      <t>コト</t>
    </rPh>
    <phoneticPr fontId="1"/>
  </si>
  <si>
    <t>こういうパワーが無いと、　両手塞がっているキャラが　素早く小細工するなんて　絶対無理！</t>
    <rPh sb="8" eb="9">
      <t>ナ</t>
    </rPh>
    <rPh sb="13" eb="15">
      <t>リョウテ</t>
    </rPh>
    <rPh sb="15" eb="16">
      <t>フサ</t>
    </rPh>
    <rPh sb="26" eb="28">
      <t>スバヤ</t>
    </rPh>
    <rPh sb="29" eb="32">
      <t>コザイク</t>
    </rPh>
    <rPh sb="38" eb="40">
      <t>ゼッタイ</t>
    </rPh>
    <rPh sb="40" eb="42">
      <t>ムリ</t>
    </rPh>
    <phoneticPr fontId="1"/>
  </si>
  <si>
    <t>①まず、片手から物を落とす。</t>
    <rPh sb="4" eb="6">
      <t>カタテ</t>
    </rPh>
    <rPh sb="8" eb="9">
      <t>モノ</t>
    </rPh>
    <rPh sb="10" eb="11">
      <t>オ</t>
    </rPh>
    <phoneticPr fontId="1"/>
  </si>
  <si>
    <t>⇒フリーアクション</t>
    <phoneticPr fontId="1"/>
  </si>
  <si>
    <t>②空いた手で　何か作業をする。</t>
    <rPh sb="1" eb="2">
      <t>ア</t>
    </rPh>
    <rPh sb="4" eb="5">
      <t>テ</t>
    </rPh>
    <rPh sb="7" eb="8">
      <t>ナニ</t>
    </rPh>
    <rPh sb="9" eb="11">
      <t>サギョウ</t>
    </rPh>
    <phoneticPr fontId="1"/>
  </si>
  <si>
    <t>⇒いずれかのアクション</t>
    <phoneticPr fontId="1"/>
  </si>
  <si>
    <t>③最後に　落し物を空いた手で拾う。</t>
    <rPh sb="1" eb="3">
      <t>サイゴ</t>
    </rPh>
    <rPh sb="5" eb="6">
      <t>オト</t>
    </rPh>
    <rPh sb="7" eb="8">
      <t>モノ</t>
    </rPh>
    <rPh sb="9" eb="10">
      <t>ア</t>
    </rPh>
    <rPh sb="12" eb="13">
      <t>テ</t>
    </rPh>
    <rPh sb="14" eb="15">
      <t>ヒロ</t>
    </rPh>
    <phoneticPr fontId="1"/>
  </si>
  <si>
    <t>⇒フリーアクション　(特殊)</t>
    <rPh sb="11" eb="13">
      <t>トクシュ</t>
    </rPh>
    <phoneticPr fontId="1"/>
  </si>
  <si>
    <t>以上の作業中、　マイナーアクションを１つ　節約する事に成功した。</t>
    <rPh sb="0" eb="2">
      <t>イジョウ</t>
    </rPh>
    <rPh sb="3" eb="5">
      <t>サギョウ</t>
    </rPh>
    <rPh sb="5" eb="6">
      <t>チュウ</t>
    </rPh>
    <rPh sb="21" eb="23">
      <t>セツヤク</t>
    </rPh>
    <rPh sb="25" eb="26">
      <t>コト</t>
    </rPh>
    <rPh sb="27" eb="29">
      <t>セイコウ</t>
    </rPh>
    <phoneticPr fontId="1"/>
  </si>
  <si>
    <t>効果は非常に地味だ。</t>
    <rPh sb="0" eb="2">
      <t>コウカ</t>
    </rPh>
    <rPh sb="3" eb="5">
      <t>ヒジョウ</t>
    </rPh>
    <rPh sb="6" eb="8">
      <t>ジミ</t>
    </rPh>
    <phoneticPr fontId="1"/>
  </si>
  <si>
    <t>人のターン中でも　マイナーアクションが必要な細かい作業が可能になる、　という解釈も可能か</t>
    <rPh sb="0" eb="1">
      <t>ヒト</t>
    </rPh>
    <rPh sb="5" eb="6">
      <t>チュウ</t>
    </rPh>
    <rPh sb="19" eb="21">
      <t>ヒツヨウ</t>
    </rPh>
    <rPh sb="22" eb="23">
      <t>コマ</t>
    </rPh>
    <rPh sb="25" eb="27">
      <t>サギョウ</t>
    </rPh>
    <rPh sb="28" eb="30">
      <t>カノウ</t>
    </rPh>
    <rPh sb="38" eb="40">
      <t>カイシャク</t>
    </rPh>
    <rPh sb="41" eb="43">
      <t>カノウ</t>
    </rPh>
    <phoneticPr fontId="1"/>
  </si>
  <si>
    <t>装備持ち替え</t>
    <rPh sb="0" eb="2">
      <t>ソウビ</t>
    </rPh>
    <rPh sb="2" eb="3">
      <t>モ</t>
    </rPh>
    <rPh sb="4" eb="5">
      <t>カ</t>
    </rPh>
    <phoneticPr fontId="1"/>
  </si>
  <si>
    <r>
      <t>⑤残念ながらクリティカルヒットしなかった時には、おとなしく</t>
    </r>
    <r>
      <rPr>
        <b/>
        <i/>
        <sz val="11"/>
        <color rgb="FFFF0000"/>
        <rFont val="ＭＳ Ｐゴシック"/>
        <family val="3"/>
        <charset val="128"/>
        <scheme val="minor"/>
      </rPr>
      <t>メディティション・オヴ・ザ・ブレード</t>
    </r>
    <r>
      <rPr>
        <sz val="11"/>
        <color theme="1"/>
        <rFont val="ＭＳ Ｐゴシック"/>
        <family val="2"/>
        <charset val="128"/>
        <scheme val="minor"/>
      </rPr>
      <t>でも…。</t>
    </r>
    <rPh sb="1" eb="3">
      <t>ザンネン</t>
    </rPh>
    <rPh sb="20" eb="21">
      <t>トキ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</si>
</sst>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8">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sz val="14"/>
      <color theme="0"/>
      <name val="ＭＳ Ｐゴシック"/>
      <family val="2"/>
      <charset val="128"/>
      <scheme val="minor"/>
    </font>
    <font>
      <b/>
      <sz val="18"/>
      <color theme="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b/>
      <sz val="10"/>
      <color theme="1"/>
      <name val="ＭＳ Ｐゴシック"/>
      <family val="3"/>
      <charset val="128"/>
      <scheme val="minor"/>
    </font>
    <font>
      <b/>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6"/>
      <color rgb="FFFF0000"/>
      <name val="ＭＳ Ｐゴシック"/>
      <family val="3"/>
      <charset val="128"/>
      <scheme val="minor"/>
    </font>
    <font>
      <b/>
      <sz val="14"/>
      <color theme="0"/>
      <name val="ＭＳ Ｐゴシック"/>
      <family val="3"/>
      <charset val="128"/>
      <scheme val="minor"/>
    </font>
    <font>
      <b/>
      <sz val="18"/>
      <color rgb="FFFF0000"/>
      <name val="ＭＳ Ｐゴシック"/>
      <family val="3"/>
      <charset val="128"/>
      <scheme val="minor"/>
    </font>
    <font>
      <b/>
      <sz val="11"/>
      <color rgb="FF00B0F0"/>
      <name val="ＭＳ Ｐゴシック"/>
      <family val="3"/>
      <charset val="128"/>
      <scheme val="minor"/>
    </font>
    <font>
      <b/>
      <sz val="14"/>
      <color rgb="FF00B0F0"/>
      <name val="ＭＳ Ｐゴシック"/>
      <family val="3"/>
      <charset val="128"/>
      <scheme val="minor"/>
    </font>
    <font>
      <b/>
      <sz val="14"/>
      <color theme="1"/>
      <name val="ＭＳ Ｐゴシック"/>
      <family val="3"/>
      <charset val="128"/>
      <scheme val="minor"/>
    </font>
    <font>
      <b/>
      <sz val="14"/>
      <color rgb="FF0070C0"/>
      <name val="ＭＳ Ｐゴシック"/>
      <family val="3"/>
      <charset val="128"/>
      <scheme val="minor"/>
    </font>
    <font>
      <sz val="14"/>
      <name val="ＭＳ Ｐゴシック"/>
      <family val="3"/>
      <charset val="128"/>
      <scheme val="minor"/>
    </font>
    <font>
      <b/>
      <sz val="16"/>
      <color rgb="FF00B0F0"/>
      <name val="ＭＳ Ｐゴシック"/>
      <family val="3"/>
      <charset val="128"/>
      <scheme val="minor"/>
    </font>
    <font>
      <b/>
      <sz val="14"/>
      <color theme="8" tint="-0.499984740745262"/>
      <name val="ＭＳ Ｐゴシック"/>
      <family val="3"/>
      <charset val="128"/>
      <scheme val="minor"/>
    </font>
    <font>
      <sz val="10"/>
      <color theme="1"/>
      <name val="ＭＳ Ｐゴシック"/>
      <family val="3"/>
      <charset val="128"/>
      <scheme val="minor"/>
    </font>
    <font>
      <sz val="10"/>
      <color theme="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name val="ＭＳ Ｐゴシック"/>
      <family val="3"/>
      <charset val="128"/>
      <scheme val="minor"/>
    </font>
    <font>
      <b/>
      <sz val="9"/>
      <name val="ＭＳ Ｐゴシック"/>
      <family val="3"/>
      <charset val="128"/>
      <scheme val="minor"/>
    </font>
    <font>
      <sz val="9"/>
      <color indexed="81"/>
      <name val="ＭＳ Ｐゴシック"/>
      <family val="3"/>
      <charset val="128"/>
    </font>
    <font>
      <b/>
      <sz val="9"/>
      <color indexed="81"/>
      <name val="ＭＳ Ｐゴシック"/>
      <family val="3"/>
      <charset val="128"/>
    </font>
    <font>
      <sz val="6"/>
      <name val="ＭＳ Ｐゴシック"/>
      <family val="3"/>
      <charset val="128"/>
    </font>
    <font>
      <b/>
      <sz val="10"/>
      <color theme="0"/>
      <name val="ＭＳ Ｐゴシック"/>
      <family val="3"/>
      <charset val="128"/>
      <scheme val="minor"/>
    </font>
    <font>
      <sz val="12"/>
      <color theme="1"/>
      <name val="ＭＳ Ｐゴシック"/>
      <family val="3"/>
      <charset val="128"/>
      <scheme val="minor"/>
    </font>
    <font>
      <b/>
      <sz val="14"/>
      <color rgb="FFFF0000"/>
      <name val="HGP創英角ﾎﾟｯﾌﾟ体"/>
      <family val="3"/>
      <charset val="128"/>
    </font>
    <font>
      <b/>
      <sz val="12"/>
      <color rgb="FFFF0000"/>
      <name val="HGP創英角ﾎﾟｯﾌﾟ体"/>
      <family val="3"/>
      <charset val="128"/>
    </font>
    <font>
      <b/>
      <sz val="14"/>
      <color rgb="FFFFFF00"/>
      <name val="HGP創英角ﾎﾟｯﾌﾟ体"/>
      <family val="3"/>
      <charset val="128"/>
    </font>
    <font>
      <sz val="11"/>
      <color rgb="FFFFFF00"/>
      <name val="ＭＳ Ｐゴシック"/>
      <family val="3"/>
      <charset val="128"/>
      <scheme val="minor"/>
    </font>
    <font>
      <sz val="10"/>
      <color theme="1"/>
      <name val="ＭＳ Ｐゴシック"/>
      <family val="2"/>
      <charset val="128"/>
      <scheme val="minor"/>
    </font>
    <font>
      <b/>
      <sz val="20"/>
      <color rgb="FFFF0000"/>
      <name val="HGP教科書体"/>
      <family val="1"/>
      <charset val="128"/>
    </font>
    <font>
      <b/>
      <sz val="12"/>
      <color theme="4" tint="-0.249977111117893"/>
      <name val="HGP創英角ｺﾞｼｯｸUB"/>
      <family val="3"/>
      <charset val="128"/>
    </font>
    <font>
      <sz val="12"/>
      <color theme="1"/>
      <name val="ＭＳ Ｐゴシック"/>
      <family val="3"/>
      <charset val="128"/>
    </font>
    <font>
      <sz val="12"/>
      <color rgb="FFFF0000"/>
      <name val="HGP創英角ｺﾞｼｯｸUB"/>
      <family val="3"/>
      <charset val="128"/>
    </font>
    <font>
      <b/>
      <sz val="11"/>
      <color rgb="FFFF0000"/>
      <name val="HGP創英角ｺﾞｼｯｸUB"/>
      <family val="3"/>
      <charset val="128"/>
    </font>
    <font>
      <b/>
      <sz val="18"/>
      <color rgb="FF00B0F0"/>
      <name val="ＭＳ Ｐゴシック"/>
      <family val="3"/>
      <charset val="128"/>
      <scheme val="minor"/>
    </font>
    <font>
      <b/>
      <sz val="14"/>
      <color rgb="FFFF0000"/>
      <name val="HGP教科書体"/>
      <family val="1"/>
      <charset val="128"/>
    </font>
    <font>
      <b/>
      <sz val="20"/>
      <color rgb="FFFF0000"/>
      <name val="HGP創英角ﾎﾟｯﾌﾟ体"/>
      <family val="3"/>
      <charset val="128"/>
    </font>
    <font>
      <b/>
      <sz val="20"/>
      <color rgb="FFFF0000"/>
      <name val="ＭＳ Ｐゴシック"/>
      <family val="3"/>
      <charset val="128"/>
      <scheme val="minor"/>
    </font>
    <font>
      <b/>
      <sz val="14"/>
      <color theme="4"/>
      <name val="HGP創英角ﾎﾟｯﾌﾟ体"/>
      <family val="3"/>
      <charset val="128"/>
    </font>
    <font>
      <b/>
      <sz val="12"/>
      <color theme="4"/>
      <name val="ＭＳ Ｐゴシック"/>
      <family val="3"/>
      <charset val="128"/>
      <scheme val="minor"/>
    </font>
    <font>
      <b/>
      <sz val="12"/>
      <color rgb="FFFF0000"/>
      <name val="ＭＳ Ｐゴシック"/>
      <family val="3"/>
      <charset val="128"/>
      <scheme val="minor"/>
    </font>
    <font>
      <b/>
      <sz val="14"/>
      <color rgb="FFFF0000"/>
      <name val="HGP創英ﾌﾟﾚｾﾞﾝｽEB"/>
      <family val="1"/>
      <charset val="128"/>
    </font>
    <font>
      <b/>
      <sz val="14"/>
      <color rgb="FFFF0000"/>
      <name val="HGP創英角ｺﾞｼｯｸUB"/>
      <family val="3"/>
      <charset val="128"/>
    </font>
    <font>
      <b/>
      <sz val="16"/>
      <color rgb="FFFF0000"/>
      <name val="HGP創英角ﾎﾟｯﾌﾟ体"/>
      <family val="3"/>
      <charset val="128"/>
    </font>
    <font>
      <b/>
      <sz val="20"/>
      <color theme="1"/>
      <name val="HGP創英角ﾎﾟｯﾌﾟ体"/>
      <family val="3"/>
      <charset val="128"/>
    </font>
    <font>
      <b/>
      <sz val="20"/>
      <color theme="8" tint="-0.249977111117893"/>
      <name val="HGP創英角ﾎﾟｯﾌﾟ体"/>
      <family val="3"/>
      <charset val="128"/>
    </font>
    <font>
      <b/>
      <sz val="18"/>
      <color theme="3" tint="-0.499984740745262"/>
      <name val="HGP創英角ﾎﾟｯﾌﾟ体"/>
      <family val="3"/>
      <charset val="128"/>
    </font>
    <font>
      <b/>
      <sz val="16"/>
      <color theme="4"/>
      <name val="HGP創英角ﾎﾟｯﾌﾟ体"/>
      <family val="3"/>
      <charset val="128"/>
    </font>
    <font>
      <sz val="11"/>
      <color rgb="FF7030A0"/>
      <name val="HGP行書体"/>
      <family val="4"/>
      <charset val="128"/>
    </font>
    <font>
      <b/>
      <sz val="14"/>
      <color theme="3" tint="0.39997558519241921"/>
      <name val="HGPｺﾞｼｯｸE"/>
      <family val="3"/>
      <charset val="128"/>
    </font>
    <font>
      <i/>
      <sz val="11"/>
      <color rgb="FFFF0000"/>
      <name val="ＭＳ Ｐゴシック"/>
      <family val="3"/>
      <charset val="128"/>
      <scheme val="minor"/>
    </font>
    <font>
      <b/>
      <sz val="11"/>
      <color theme="3" tint="-0.249977111117893"/>
      <name val="ＭＳ Ｐゴシック"/>
      <family val="3"/>
      <charset val="128"/>
      <scheme val="minor"/>
    </font>
    <font>
      <b/>
      <i/>
      <sz val="11"/>
      <color rgb="FFFF0000"/>
      <name val="ＭＳ Ｐゴシック"/>
      <family val="3"/>
      <charset val="128"/>
      <scheme val="minor"/>
    </font>
    <font>
      <sz val="11"/>
      <color rgb="FF00B0F0"/>
      <name val="HGP創英角ｺﾞｼｯｸUB"/>
      <family val="3"/>
      <charset val="128"/>
    </font>
    <font>
      <b/>
      <sz val="20"/>
      <color theme="4" tint="-0.249977111117893"/>
      <name val="HGP創英角ﾎﾟｯﾌﾟ体"/>
      <family val="3"/>
      <charset val="128"/>
    </font>
    <font>
      <b/>
      <sz val="14"/>
      <color rgb="FF00B0F0"/>
      <name val="HGP創英角ｺﾞｼｯｸUB"/>
      <family val="3"/>
      <charset val="128"/>
    </font>
    <font>
      <b/>
      <sz val="16"/>
      <color theme="7" tint="-0.249977111117893"/>
      <name val="ＭＳ Ｐゴシック"/>
      <family val="3"/>
      <charset val="128"/>
      <scheme val="minor"/>
    </font>
    <font>
      <b/>
      <sz val="11"/>
      <color theme="1"/>
      <name val="HGP創英角ﾎﾟｯﾌﾟ体"/>
      <family val="3"/>
      <charset val="128"/>
    </font>
    <font>
      <b/>
      <sz val="11"/>
      <color theme="7" tint="-0.499984740745262"/>
      <name val="HGPｺﾞｼｯｸE"/>
      <family val="3"/>
      <charset val="128"/>
    </font>
    <font>
      <b/>
      <sz val="11"/>
      <color theme="7" tint="-0.499984740745262"/>
      <name val="HGP創英ﾌﾟﾚｾﾞﾝｽEB"/>
      <family val="1"/>
      <charset val="128"/>
    </font>
    <font>
      <b/>
      <sz val="14"/>
      <color theme="3" tint="0.39997558519241921"/>
      <name val="HGP創英角ﾎﾟｯﾌﾟ体"/>
      <family val="3"/>
      <charset val="128"/>
    </font>
    <font>
      <b/>
      <sz val="11"/>
      <color rgb="FFFF0000"/>
      <name val="HGP創英角ﾎﾟｯﾌﾟ体"/>
      <family val="3"/>
      <charset val="128"/>
    </font>
    <font>
      <sz val="11"/>
      <color rgb="FFFF0000"/>
      <name val="HGPｺﾞｼｯｸE"/>
      <family val="3"/>
      <charset val="128"/>
    </font>
    <font>
      <b/>
      <i/>
      <sz val="18"/>
      <color theme="3" tint="-0.499984740745262"/>
      <name val="HGP創英角ﾎﾟｯﾌﾟ体"/>
      <family val="3"/>
      <charset val="128"/>
    </font>
    <font>
      <b/>
      <sz val="16"/>
      <color theme="7" tint="-0.249977111117893"/>
      <name val="HGP創英角ｺﾞｼｯｸUB"/>
      <family val="3"/>
      <charset val="128"/>
    </font>
    <font>
      <b/>
      <sz val="16"/>
      <color rgb="FF00B0F0"/>
      <name val="HGP創英角ｺﾞｼｯｸUB"/>
      <family val="3"/>
      <charset val="128"/>
    </font>
    <font>
      <b/>
      <sz val="11"/>
      <color theme="8" tint="-0.499984740745262"/>
      <name val="ＭＳ Ｐゴシック"/>
      <family val="3"/>
      <charset val="128"/>
      <scheme val="minor"/>
    </font>
    <font>
      <b/>
      <sz val="11"/>
      <color theme="3" tint="-0.499984740745262"/>
      <name val="ＭＳ Ｐゴシック"/>
      <family val="3"/>
      <charset val="128"/>
      <scheme val="minor"/>
    </font>
    <font>
      <sz val="11"/>
      <color theme="7" tint="-0.499984740745262"/>
      <name val="ＭＳ Ｐゴシック"/>
      <family val="2"/>
      <charset val="128"/>
      <scheme val="minor"/>
    </font>
    <font>
      <sz val="11"/>
      <color theme="7" tint="-0.499984740745262"/>
      <name val="ＭＳ Ｐゴシック"/>
      <family val="3"/>
      <charset val="128"/>
      <scheme val="minor"/>
    </font>
    <font>
      <sz val="9"/>
      <color theme="0"/>
      <name val="ＭＳ Ｐゴシック"/>
      <family val="3"/>
      <charset val="128"/>
      <scheme val="minor"/>
    </font>
    <font>
      <sz val="9"/>
      <name val="ＭＳ Ｐゴシック"/>
      <family val="3"/>
      <charset val="128"/>
      <scheme val="minor"/>
    </font>
    <font>
      <b/>
      <sz val="16"/>
      <color rgb="FFFF0000"/>
      <name val="HGPｺﾞｼｯｸE"/>
      <family val="3"/>
      <charset val="128"/>
    </font>
    <font>
      <b/>
      <sz val="11"/>
      <color rgb="FFFF0000"/>
      <name val="ＭＳ Ｐゴシック"/>
      <family val="2"/>
      <charset val="128"/>
      <scheme val="minor"/>
    </font>
    <font>
      <b/>
      <sz val="10"/>
      <color rgb="FFFF0000"/>
      <name val="ＭＳ Ｐゴシック"/>
      <family val="3"/>
      <charset val="128"/>
      <scheme val="minor"/>
    </font>
    <font>
      <b/>
      <sz val="10"/>
      <color rgb="FFFFFF00"/>
      <name val="ＭＳ Ｐゴシック"/>
      <family val="3"/>
      <charset val="128"/>
      <scheme val="minor"/>
    </font>
    <font>
      <b/>
      <sz val="11"/>
      <color rgb="FFFFFF00"/>
      <name val="ＭＳ Ｐゴシック"/>
      <family val="3"/>
      <charset val="128"/>
      <scheme val="minor"/>
    </font>
    <font>
      <b/>
      <sz val="12"/>
      <color theme="8" tint="-0.249977111117893"/>
      <name val="ＭＳ Ｐゴシック"/>
      <family val="3"/>
      <charset val="128"/>
      <scheme val="minor"/>
    </font>
    <font>
      <b/>
      <sz val="12"/>
      <color rgb="FF002060"/>
      <name val="ＭＳ Ｐゴシック"/>
      <family val="3"/>
      <charset val="128"/>
      <scheme val="minor"/>
    </font>
    <font>
      <b/>
      <sz val="12"/>
      <color rgb="FF00B0F0"/>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
      <sz val="18"/>
      <color rgb="FFFF0000"/>
      <name val="ＭＳ Ｐゴシック"/>
      <family val="3"/>
      <charset val="128"/>
      <scheme val="minor"/>
    </font>
    <font>
      <b/>
      <sz val="12"/>
      <color rgb="FF0070C0"/>
      <name val="HGP創英角ﾎﾟｯﾌﾟ体"/>
      <family val="3"/>
      <charset val="128"/>
    </font>
    <font>
      <sz val="12"/>
      <color theme="1"/>
      <name val="ＭＳ Ｐゴシック"/>
      <family val="2"/>
      <charset val="128"/>
      <scheme val="minor"/>
    </font>
    <font>
      <b/>
      <sz val="12"/>
      <color theme="3" tint="0.39997558519241921"/>
      <name val="HGPｺﾞｼｯｸE"/>
      <family val="3"/>
      <charset val="128"/>
    </font>
    <font>
      <b/>
      <sz val="18"/>
      <color rgb="FFFF0000"/>
      <name val="HGP創英角ﾎﾟｯﾌﾟ体"/>
      <family val="3"/>
      <charset val="128"/>
    </font>
    <font>
      <b/>
      <sz val="22"/>
      <color rgb="FFFF0000"/>
      <name val="HGP創英角ﾎﾟｯﾌﾟ体"/>
      <family val="3"/>
      <charset val="128"/>
    </font>
    <font>
      <b/>
      <sz val="12"/>
      <color rgb="FFFF0000"/>
      <name val="HGP創英ﾌﾟﾚｾﾞﾝｽEB"/>
      <family val="1"/>
      <charset val="128"/>
    </font>
  </fonts>
  <fills count="31">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8000"/>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A61D0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7030A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0.499984740745262"/>
        <bgColor indexed="64"/>
      </patternFill>
    </fill>
    <fill>
      <patternFill patternType="solid">
        <fgColor theme="3"/>
        <bgColor indexed="64"/>
      </patternFill>
    </fill>
    <fill>
      <patternFill patternType="solid">
        <fgColor theme="7" tint="-0.249977111117893"/>
        <bgColor indexed="64"/>
      </patternFill>
    </fill>
    <fill>
      <patternFill patternType="solid">
        <fgColor theme="1" tint="4.9989318521683403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style="hair">
        <color indexed="64"/>
      </right>
      <top/>
      <bottom/>
      <diagonal/>
    </border>
    <border>
      <left style="hair">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style="hair">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thin">
        <color indexed="64"/>
      </left>
      <right style="hair">
        <color auto="1"/>
      </right>
      <top style="hair">
        <color auto="1"/>
      </top>
      <bottom style="thin">
        <color indexed="64"/>
      </bottom>
      <diagonal/>
    </border>
    <border>
      <left style="thin">
        <color indexed="64"/>
      </left>
      <right style="hair">
        <color auto="1"/>
      </right>
      <top style="hair">
        <color auto="1"/>
      </top>
      <bottom style="hair">
        <color auto="1"/>
      </bottom>
      <diagonal/>
    </border>
  </borders>
  <cellStyleXfs count="1">
    <xf numFmtId="0" fontId="0" fillId="0" borderId="0">
      <alignment vertical="center"/>
    </xf>
  </cellStyleXfs>
  <cellXfs count="63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lignment vertical="center"/>
    </xf>
    <xf numFmtId="0" fontId="6" fillId="5" borderId="1" xfId="0" applyFont="1" applyFill="1" applyBorder="1" applyAlignment="1">
      <alignment horizontal="center" vertical="center"/>
    </xf>
    <xf numFmtId="0" fontId="0" fillId="9" borderId="1" xfId="0" applyFill="1" applyBorder="1">
      <alignment vertical="center"/>
    </xf>
    <xf numFmtId="0" fontId="0" fillId="9" borderId="2" xfId="0" applyFill="1" applyBorder="1">
      <alignment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10" fillId="0" borderId="0" xfId="0" applyFont="1">
      <alignment vertical="center"/>
    </xf>
    <xf numFmtId="0" fontId="2" fillId="0" borderId="0" xfId="0" applyFont="1" applyAlignment="1">
      <alignment horizontal="left" vertical="center"/>
    </xf>
    <xf numFmtId="0" fontId="12" fillId="9" borderId="13" xfId="0" applyFont="1" applyFill="1" applyBorder="1" applyAlignment="1">
      <alignment horizontal="center" vertical="center"/>
    </xf>
    <xf numFmtId="0" fontId="12"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19" xfId="0" applyFont="1" applyFill="1" applyBorder="1" applyAlignment="1">
      <alignment horizontal="center" vertical="center"/>
    </xf>
    <xf numFmtId="0" fontId="10" fillId="9" borderId="13" xfId="0" applyFont="1" applyFill="1" applyBorder="1" applyAlignment="1">
      <alignment horizontal="center" vertical="center"/>
    </xf>
    <xf numFmtId="0" fontId="10" fillId="9" borderId="2" xfId="0" applyFont="1" applyFill="1" applyBorder="1" applyAlignment="1">
      <alignment horizontal="center" vertical="center"/>
    </xf>
    <xf numFmtId="0" fontId="7"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8"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7" fillId="11" borderId="1" xfId="0" applyFont="1" applyFill="1" applyBorder="1" applyAlignment="1">
      <alignment horizontal="center" vertical="center" shrinkToFit="1"/>
    </xf>
    <xf numFmtId="0" fontId="9" fillId="11" borderId="1"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9"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10" fillId="0" borderId="0" xfId="0" applyFont="1" applyAlignment="1">
      <alignment horizontal="right"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13" xfId="0" applyFill="1" applyBorder="1" applyAlignment="1">
      <alignment horizontal="center" vertical="center"/>
    </xf>
    <xf numFmtId="0" fontId="10" fillId="0" borderId="0" xfId="0" applyFont="1" applyAlignment="1">
      <alignment horizontal="left" vertical="center"/>
    </xf>
    <xf numFmtId="0" fontId="0" fillId="13" borderId="1" xfId="0" applyFill="1" applyBorder="1">
      <alignment vertical="center"/>
    </xf>
    <xf numFmtId="0" fontId="0" fillId="0" borderId="19" xfId="0" applyBorder="1" applyAlignment="1">
      <alignment horizontal="center" vertical="center"/>
    </xf>
    <xf numFmtId="0" fontId="0" fillId="9" borderId="13" xfId="0" applyFill="1" applyBorder="1" applyAlignment="1">
      <alignment horizontal="center" vertical="center"/>
    </xf>
    <xf numFmtId="0" fontId="0" fillId="9" borderId="2" xfId="0" applyFill="1" applyBorder="1" applyAlignment="1">
      <alignment horizontal="center" vertical="center"/>
    </xf>
    <xf numFmtId="0" fontId="10" fillId="0" borderId="0" xfId="0" applyFont="1" applyAlignment="1">
      <alignment horizontal="left" vertical="center"/>
    </xf>
    <xf numFmtId="0" fontId="2" fillId="5" borderId="1" xfId="0" applyFont="1" applyFill="1" applyBorder="1" applyAlignment="1">
      <alignment horizontal="center" vertical="center"/>
    </xf>
    <xf numFmtId="0" fontId="17" fillId="9" borderId="1" xfId="0" applyFont="1" applyFill="1" applyBorder="1" applyAlignment="1">
      <alignment horizontal="center" vertical="center"/>
    </xf>
    <xf numFmtId="0" fontId="12" fillId="9" borderId="19" xfId="0" applyFont="1" applyFill="1" applyBorder="1" applyAlignment="1">
      <alignment horizontal="center" vertical="center"/>
    </xf>
    <xf numFmtId="0" fontId="0" fillId="0" borderId="1" xfId="0" applyBorder="1" applyAlignment="1">
      <alignment horizontal="center" vertical="center"/>
    </xf>
    <xf numFmtId="0" fontId="14" fillId="0" borderId="0" xfId="0" applyFont="1" applyAlignment="1">
      <alignment horizontal="lef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16" fillId="7" borderId="27" xfId="0" applyFont="1" applyFill="1" applyBorder="1" applyAlignment="1">
      <alignment horizontal="center" vertical="center" wrapText="1"/>
    </xf>
    <xf numFmtId="0" fontId="3" fillId="8" borderId="28" xfId="0" applyFont="1" applyFill="1" applyBorder="1" applyAlignment="1">
      <alignment horizontal="center" vertical="center"/>
    </xf>
    <xf numFmtId="0" fontId="11" fillId="8" borderId="29" xfId="0" applyFont="1" applyFill="1" applyBorder="1" applyAlignment="1">
      <alignment horizontal="center" vertical="center" wrapText="1"/>
    </xf>
    <xf numFmtId="0" fontId="7" fillId="14" borderId="1" xfId="0" applyFont="1" applyFill="1" applyBorder="1" applyAlignment="1">
      <alignment horizontal="center" vertical="center" shrinkToFit="1"/>
    </xf>
    <xf numFmtId="0" fontId="8" fillId="14" borderId="14" xfId="0" applyFont="1" applyFill="1" applyBorder="1" applyAlignment="1">
      <alignment horizontal="center" vertical="center" shrinkToFit="1"/>
    </xf>
    <xf numFmtId="0" fontId="9" fillId="14" borderId="1" xfId="0" applyFont="1" applyFill="1" applyBorder="1" applyAlignment="1">
      <alignment horizontal="center" vertical="center" shrinkToFit="1"/>
    </xf>
    <xf numFmtId="0" fontId="8" fillId="14" borderId="1" xfId="0" applyFont="1" applyFill="1" applyBorder="1" applyAlignment="1">
      <alignment horizontal="center" vertical="center" shrinkToFit="1"/>
    </xf>
    <xf numFmtId="0" fontId="7" fillId="14" borderId="1" xfId="0" applyFont="1" applyFill="1" applyBorder="1" applyAlignment="1">
      <alignment horizontal="center" vertical="center"/>
    </xf>
    <xf numFmtId="0" fontId="9" fillId="14" borderId="1" xfId="0" applyFont="1" applyFill="1" applyBorder="1" applyAlignment="1">
      <alignment horizontal="center" vertical="center"/>
    </xf>
    <xf numFmtId="0" fontId="8" fillId="14"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8" fillId="6" borderId="14" xfId="0" applyFont="1" applyFill="1" applyBorder="1" applyAlignment="1">
      <alignment horizontal="center" vertical="center" shrinkToFit="1"/>
    </xf>
    <xf numFmtId="0" fontId="14" fillId="0" borderId="0" xfId="0" applyFont="1" applyAlignment="1">
      <alignment horizontal="left" vertical="center"/>
    </xf>
    <xf numFmtId="0" fontId="8" fillId="14" borderId="14" xfId="0" applyFont="1" applyFill="1" applyBorder="1" applyAlignment="1">
      <alignment horizontal="center" vertical="center" shrinkToFit="1"/>
    </xf>
    <xf numFmtId="0" fontId="11" fillId="7" borderId="32" xfId="0" applyFont="1" applyFill="1" applyBorder="1" applyAlignment="1">
      <alignment horizontal="center" vertical="center" wrapText="1"/>
    </xf>
    <xf numFmtId="0" fontId="3" fillId="7" borderId="33" xfId="0" applyFont="1" applyFill="1" applyBorder="1" applyAlignment="1">
      <alignment horizontal="center" vertical="center"/>
    </xf>
    <xf numFmtId="0" fontId="3" fillId="7" borderId="34"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8" fillId="11" borderId="14" xfId="0" applyFont="1" applyFill="1" applyBorder="1" applyAlignment="1">
      <alignment horizontal="center" vertical="center" shrinkToFit="1"/>
    </xf>
    <xf numFmtId="0" fontId="0" fillId="9" borderId="1" xfId="0" applyFill="1" applyBorder="1" applyAlignment="1">
      <alignment horizontal="center" vertical="center"/>
    </xf>
    <xf numFmtId="0" fontId="17" fillId="9" borderId="19"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0" fontId="7" fillId="6" borderId="1" xfId="0" applyFont="1" applyFill="1" applyBorder="1" applyAlignment="1">
      <alignment horizontal="center" vertical="center" shrinkToFit="1"/>
    </xf>
    <xf numFmtId="0" fontId="9"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11" fillId="7" borderId="4"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3" fillId="8" borderId="28" xfId="0" applyFont="1" applyFill="1" applyBorder="1" applyAlignment="1">
      <alignment horizontal="center" vertical="center"/>
    </xf>
    <xf numFmtId="0" fontId="3" fillId="8" borderId="23" xfId="0" applyFont="1" applyFill="1" applyBorder="1" applyAlignment="1">
      <alignment horizontal="center" vertical="center"/>
    </xf>
    <xf numFmtId="0" fontId="3" fillId="7" borderId="30" xfId="0" applyFont="1" applyFill="1" applyBorder="1" applyAlignment="1">
      <alignment horizontal="center" vertical="center"/>
    </xf>
    <xf numFmtId="0" fontId="3" fillId="7" borderId="31" xfId="0" applyFont="1" applyFill="1" applyBorder="1" applyAlignment="1">
      <alignment horizontal="center" vertical="center"/>
    </xf>
    <xf numFmtId="0" fontId="5" fillId="2" borderId="26" xfId="0" applyFont="1" applyFill="1" applyBorder="1" applyAlignment="1">
      <alignment horizontal="center" vertical="center" shrinkToFit="1"/>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9" borderId="1" xfId="0" applyFill="1" applyBorder="1">
      <alignment vertical="center"/>
    </xf>
    <xf numFmtId="0" fontId="10" fillId="0" borderId="0" xfId="0" applyFont="1" applyAlignment="1">
      <alignment horizontal="left" vertical="center"/>
    </xf>
    <xf numFmtId="0" fontId="2" fillId="0" borderId="0" xfId="0" applyFont="1" applyAlignment="1">
      <alignment horizontal="left" vertical="center"/>
    </xf>
    <xf numFmtId="0" fontId="12" fillId="9" borderId="13" xfId="0" applyFont="1" applyFill="1" applyBorder="1" applyAlignment="1">
      <alignment horizontal="center" vertical="center"/>
    </xf>
    <xf numFmtId="0" fontId="12"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19" xfId="0" applyFont="1" applyFill="1" applyBorder="1" applyAlignment="1">
      <alignment horizontal="center" vertical="center"/>
    </xf>
    <xf numFmtId="0" fontId="10" fillId="9" borderId="13" xfId="0" applyFont="1" applyFill="1" applyBorder="1" applyAlignment="1">
      <alignment horizontal="center" vertical="center"/>
    </xf>
    <xf numFmtId="0" fontId="10" fillId="9" borderId="2" xfId="0" applyFont="1" applyFill="1" applyBorder="1" applyAlignment="1">
      <alignment horizontal="center" vertical="center"/>
    </xf>
    <xf numFmtId="0" fontId="13" fillId="12" borderId="1" xfId="0" applyFont="1" applyFill="1" applyBorder="1" applyAlignment="1">
      <alignment horizontal="center" vertical="center"/>
    </xf>
    <xf numFmtId="0" fontId="0" fillId="9" borderId="13" xfId="0" applyFill="1" applyBorder="1" applyAlignment="1">
      <alignment horizontal="center" vertical="center"/>
    </xf>
    <xf numFmtId="0" fontId="0" fillId="9" borderId="2" xfId="0" applyFill="1" applyBorder="1" applyAlignment="1">
      <alignment horizontal="center" vertical="center"/>
    </xf>
    <xf numFmtId="0" fontId="0" fillId="0" borderId="19" xfId="0" applyBorder="1" applyAlignment="1">
      <alignment horizontal="center" vertical="center"/>
    </xf>
    <xf numFmtId="0" fontId="12" fillId="9" borderId="19" xfId="0" applyFont="1" applyFill="1" applyBorder="1" applyAlignment="1">
      <alignment horizontal="center" vertical="center"/>
    </xf>
    <xf numFmtId="0" fontId="7" fillId="14" borderId="1" xfId="0" applyFont="1" applyFill="1" applyBorder="1" applyAlignment="1">
      <alignment horizontal="center" vertical="center" shrinkToFit="1"/>
    </xf>
    <xf numFmtId="0" fontId="8" fillId="14" borderId="14" xfId="0" applyFont="1" applyFill="1" applyBorder="1" applyAlignment="1">
      <alignment horizontal="center" vertical="center" shrinkToFit="1"/>
    </xf>
    <xf numFmtId="0" fontId="9" fillId="14" borderId="1" xfId="0" applyFont="1" applyFill="1" applyBorder="1" applyAlignment="1">
      <alignment horizontal="center" vertical="center" shrinkToFit="1"/>
    </xf>
    <xf numFmtId="0" fontId="8" fillId="14" borderId="1" xfId="0" applyFont="1" applyFill="1" applyBorder="1" applyAlignment="1">
      <alignment horizontal="center" vertical="center" shrinkToFit="1"/>
    </xf>
    <xf numFmtId="0" fontId="7" fillId="14" borderId="1" xfId="0" applyFont="1" applyFill="1" applyBorder="1" applyAlignment="1">
      <alignment horizontal="center" vertical="center"/>
    </xf>
    <xf numFmtId="0" fontId="9" fillId="14" borderId="1" xfId="0" applyFont="1" applyFill="1" applyBorder="1" applyAlignment="1">
      <alignment horizontal="center" vertical="center"/>
    </xf>
    <xf numFmtId="0" fontId="8" fillId="14" borderId="1" xfId="0" applyFont="1" applyFill="1" applyBorder="1" applyAlignment="1">
      <alignment horizontal="center" vertical="center"/>
    </xf>
    <xf numFmtId="0" fontId="13" fillId="0" borderId="1" xfId="0" applyFont="1" applyFill="1" applyBorder="1" applyAlignment="1">
      <alignment horizontal="center" vertical="center"/>
    </xf>
    <xf numFmtId="0" fontId="35" fillId="0" borderId="0" xfId="0" applyFont="1">
      <alignment vertical="center"/>
    </xf>
    <xf numFmtId="0" fontId="2" fillId="5" borderId="1" xfId="0" applyFont="1" applyFill="1" applyBorder="1" applyAlignment="1">
      <alignment horizontal="center" vertical="center"/>
    </xf>
    <xf numFmtId="0" fontId="8" fillId="14" borderId="14" xfId="0" applyFont="1" applyFill="1" applyBorder="1" applyAlignment="1">
      <alignment horizontal="center" vertical="center" shrinkToFit="1"/>
    </xf>
    <xf numFmtId="0" fontId="2" fillId="5" borderId="2" xfId="0" applyFont="1"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14" fillId="0" borderId="0" xfId="0" applyFont="1" applyAlignment="1">
      <alignment horizontal="left" vertical="center"/>
    </xf>
    <xf numFmtId="0" fontId="8" fillId="6" borderId="14" xfId="0" applyFont="1" applyFill="1" applyBorder="1" applyAlignment="1">
      <alignment horizontal="center" vertical="center" shrinkToFit="1"/>
    </xf>
    <xf numFmtId="0" fontId="8" fillId="11" borderId="14"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2" fillId="5" borderId="1" xfId="0" applyFont="1" applyFill="1" applyBorder="1" applyAlignment="1">
      <alignment horizontal="center" vertical="center"/>
    </xf>
    <xf numFmtId="0" fontId="0" fillId="13" borderId="1" xfId="0" applyFill="1" applyBorder="1" applyAlignment="1">
      <alignment horizontal="center" vertical="center" shrinkToFit="1"/>
    </xf>
    <xf numFmtId="0" fontId="0" fillId="13" borderId="1"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8" fillId="6" borderId="14" xfId="0" applyFont="1" applyFill="1" applyBorder="1" applyAlignment="1">
      <alignment horizontal="center" vertical="center" shrinkToFit="1"/>
    </xf>
    <xf numFmtId="0" fontId="0" fillId="0" borderId="0" xfId="0" applyAlignment="1">
      <alignment horizontal="left" vertical="center"/>
    </xf>
    <xf numFmtId="0" fontId="14" fillId="0" borderId="0" xfId="0" applyFont="1" applyAlignment="1">
      <alignment horizontal="left" vertical="center"/>
    </xf>
    <xf numFmtId="0" fontId="5" fillId="4" borderId="21" xfId="0" applyFont="1" applyFill="1" applyBorder="1" applyAlignment="1">
      <alignment horizontal="center" vertical="center" shrinkToFit="1"/>
    </xf>
    <xf numFmtId="0" fontId="21" fillId="0" borderId="0" xfId="0" applyFont="1">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3" fillId="7" borderId="37" xfId="0" applyFont="1" applyFill="1" applyBorder="1" applyAlignment="1">
      <alignment horizontal="center" vertical="center"/>
    </xf>
    <xf numFmtId="0" fontId="3" fillId="8" borderId="45" xfId="0" applyFont="1" applyFill="1" applyBorder="1" applyAlignment="1">
      <alignment horizontal="center" vertical="center"/>
    </xf>
    <xf numFmtId="0" fontId="3" fillId="7" borderId="43" xfId="0" applyFont="1" applyFill="1" applyBorder="1" applyAlignment="1">
      <alignment horizontal="center" vertical="center"/>
    </xf>
    <xf numFmtId="0" fontId="5" fillId="15" borderId="1"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13" borderId="0" xfId="0" applyFill="1" applyBorder="1" applyAlignment="1">
      <alignment horizontal="center" vertical="center" shrinkToFit="1"/>
    </xf>
    <xf numFmtId="0" fontId="13" fillId="0" borderId="0" xfId="0" applyFont="1" applyFill="1" applyBorder="1" applyAlignment="1">
      <alignment horizontal="center" vertical="center"/>
    </xf>
    <xf numFmtId="0" fontId="0" fillId="13" borderId="0" xfId="0" applyFill="1" applyBorder="1" applyAlignment="1">
      <alignment horizontal="center" vertical="center"/>
    </xf>
    <xf numFmtId="0" fontId="0" fillId="13" borderId="16" xfId="0"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3" borderId="58" xfId="0" applyFont="1" applyFill="1" applyBorder="1" applyAlignment="1">
      <alignment horizontal="center" vertical="center" shrinkToFit="1"/>
    </xf>
    <xf numFmtId="0" fontId="4" fillId="18" borderId="58" xfId="0" applyFont="1" applyFill="1" applyBorder="1" applyAlignment="1">
      <alignment horizontal="center" vertical="center" shrinkToFit="1"/>
    </xf>
    <xf numFmtId="0" fontId="5" fillId="17" borderId="59"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0" fillId="0" borderId="0" xfId="0" applyAlignment="1">
      <alignment vertical="center" shrinkToFit="1"/>
    </xf>
    <xf numFmtId="0" fontId="3" fillId="8" borderId="63" xfId="0" applyFont="1" applyFill="1" applyBorder="1" applyAlignment="1">
      <alignment horizontal="center" vertical="center"/>
    </xf>
    <xf numFmtId="0" fontId="3" fillId="7" borderId="64" xfId="0" applyFont="1" applyFill="1" applyBorder="1" applyAlignment="1">
      <alignment horizontal="center" vertical="center"/>
    </xf>
    <xf numFmtId="0" fontId="5" fillId="4" borderId="65" xfId="0" applyFont="1" applyFill="1" applyBorder="1" applyAlignment="1">
      <alignment horizontal="center" vertical="center" shrinkToFit="1"/>
    </xf>
    <xf numFmtId="0" fontId="11" fillId="7" borderId="66" xfId="0" applyFont="1" applyFill="1" applyBorder="1" applyAlignment="1">
      <alignment horizontal="center" vertical="center" wrapText="1"/>
    </xf>
    <xf numFmtId="0" fontId="3" fillId="7" borderId="67" xfId="0" applyFont="1" applyFill="1" applyBorder="1" applyAlignment="1">
      <alignment horizontal="center" vertical="center"/>
    </xf>
    <xf numFmtId="0" fontId="3" fillId="7" borderId="68" xfId="0" applyFont="1" applyFill="1" applyBorder="1" applyAlignment="1">
      <alignment horizontal="center" vertical="center"/>
    </xf>
    <xf numFmtId="0" fontId="3" fillId="7" borderId="69" xfId="0" applyFont="1" applyFill="1" applyBorder="1" applyAlignment="1">
      <alignment horizontal="center" vertical="center"/>
    </xf>
    <xf numFmtId="0" fontId="4" fillId="0" borderId="17" xfId="0" applyFont="1" applyFill="1" applyBorder="1" applyAlignment="1">
      <alignment horizontal="center" vertical="center" shrinkToFit="1"/>
    </xf>
    <xf numFmtId="0" fontId="3" fillId="0" borderId="5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5" xfId="0" applyFont="1" applyFill="1" applyBorder="1" applyAlignment="1">
      <alignment horizontal="center" vertical="center"/>
    </xf>
    <xf numFmtId="0" fontId="3" fillId="7" borderId="71" xfId="0" applyFont="1" applyFill="1" applyBorder="1" applyAlignment="1">
      <alignment horizontal="center" vertical="center"/>
    </xf>
    <xf numFmtId="0" fontId="3" fillId="0" borderId="70" xfId="0" applyFont="1" applyFill="1" applyBorder="1" applyAlignment="1">
      <alignment horizontal="center" vertical="center"/>
    </xf>
    <xf numFmtId="0" fontId="41" fillId="19" borderId="36" xfId="0" applyFont="1" applyFill="1" applyBorder="1" applyAlignment="1">
      <alignment horizontal="center" vertical="center" wrapText="1"/>
    </xf>
    <xf numFmtId="0" fontId="4" fillId="18" borderId="59" xfId="0" applyFont="1" applyFill="1" applyBorder="1" applyAlignment="1">
      <alignment horizontal="center" vertical="center" shrinkToFit="1"/>
    </xf>
    <xf numFmtId="0" fontId="11" fillId="10" borderId="73" xfId="0" applyFont="1" applyFill="1" applyBorder="1" applyAlignment="1">
      <alignment horizontal="center" vertical="center" wrapText="1"/>
    </xf>
    <xf numFmtId="0" fontId="11" fillId="8" borderId="22" xfId="0" applyFont="1" applyFill="1" applyBorder="1" applyAlignment="1">
      <alignment horizontal="center" vertical="center" shrinkToFit="1"/>
    </xf>
    <xf numFmtId="0" fontId="3" fillId="8" borderId="28" xfId="0" applyFont="1" applyFill="1" applyBorder="1" applyAlignment="1">
      <alignment horizontal="center" vertical="center" shrinkToFit="1"/>
    </xf>
    <xf numFmtId="0" fontId="3" fillId="8" borderId="45" xfId="0" applyFont="1" applyFill="1" applyBorder="1" applyAlignment="1">
      <alignment horizontal="center" vertical="center" shrinkToFit="1"/>
    </xf>
    <xf numFmtId="0" fontId="3" fillId="8" borderId="23" xfId="0" applyFont="1" applyFill="1" applyBorder="1" applyAlignment="1">
      <alignment horizontal="center" vertical="center" shrinkToFit="1"/>
    </xf>
    <xf numFmtId="0" fontId="0" fillId="0" borderId="0" xfId="0" applyAlignment="1">
      <alignment horizontal="center" vertical="center" shrinkToFit="1"/>
    </xf>
    <xf numFmtId="0" fontId="16" fillId="7" borderId="27" xfId="0" applyFont="1" applyFill="1" applyBorder="1" applyAlignment="1">
      <alignment horizontal="center" vertical="center" shrinkToFit="1"/>
    </xf>
    <xf numFmtId="0" fontId="3" fillId="7" borderId="48" xfId="0" applyFont="1" applyFill="1" applyBorder="1" applyAlignment="1">
      <alignment horizontal="center" vertical="center" shrinkToFit="1"/>
    </xf>
    <xf numFmtId="0" fontId="3" fillId="7" borderId="49" xfId="0" applyFont="1" applyFill="1" applyBorder="1" applyAlignment="1">
      <alignment horizontal="center" vertical="center" shrinkToFit="1"/>
    </xf>
    <xf numFmtId="0" fontId="3" fillId="7" borderId="50" xfId="0" applyFont="1" applyFill="1" applyBorder="1" applyAlignment="1">
      <alignment horizontal="center" vertical="center" shrinkToFit="1"/>
    </xf>
    <xf numFmtId="0" fontId="11" fillId="7" borderId="32" xfId="0" applyFont="1" applyFill="1" applyBorder="1" applyAlignment="1">
      <alignment horizontal="center" vertical="center" shrinkToFit="1"/>
    </xf>
    <xf numFmtId="0" fontId="3" fillId="7" borderId="33" xfId="0" applyFont="1" applyFill="1" applyBorder="1" applyAlignment="1">
      <alignment horizontal="center" vertical="center" shrinkToFit="1"/>
    </xf>
    <xf numFmtId="0" fontId="3" fillId="7" borderId="43" xfId="0" applyFont="1" applyFill="1" applyBorder="1" applyAlignment="1">
      <alignment horizontal="center" vertical="center" shrinkToFit="1"/>
    </xf>
    <xf numFmtId="0" fontId="3" fillId="7" borderId="34" xfId="0" applyFont="1" applyFill="1" applyBorder="1" applyAlignment="1">
      <alignment horizontal="center" vertical="center" shrinkToFit="1"/>
    </xf>
    <xf numFmtId="0" fontId="16" fillId="7" borderId="75" xfId="0" applyFont="1" applyFill="1" applyBorder="1" applyAlignment="1">
      <alignment horizontal="center" vertical="center" wrapText="1"/>
    </xf>
    <xf numFmtId="0" fontId="0" fillId="0" borderId="9" xfId="0" applyBorder="1" applyAlignment="1">
      <alignment vertical="center"/>
    </xf>
    <xf numFmtId="0" fontId="43" fillId="0" borderId="0" xfId="0" applyFont="1" applyBorder="1" applyAlignment="1">
      <alignment horizontal="left" vertical="center"/>
    </xf>
    <xf numFmtId="0" fontId="45" fillId="14" borderId="16" xfId="0" applyFont="1" applyFill="1" applyBorder="1" applyAlignment="1">
      <alignment horizontal="distributed" vertical="center" indent="1"/>
    </xf>
    <xf numFmtId="0" fontId="46" fillId="14" borderId="14" xfId="0" applyFont="1" applyFill="1" applyBorder="1" applyAlignment="1">
      <alignment horizontal="right"/>
    </xf>
    <xf numFmtId="0" fontId="0" fillId="0" borderId="0"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3" fillId="7" borderId="76" xfId="0" applyFont="1" applyFill="1" applyBorder="1" applyAlignment="1">
      <alignment horizontal="center" vertical="center"/>
    </xf>
    <xf numFmtId="0" fontId="3" fillId="8" borderId="63" xfId="0" applyFont="1" applyFill="1" applyBorder="1" applyAlignment="1">
      <alignment horizontal="center" vertical="center" shrinkToFit="1"/>
    </xf>
    <xf numFmtId="0" fontId="3" fillId="7" borderId="64" xfId="0" applyFont="1" applyFill="1" applyBorder="1" applyAlignment="1">
      <alignment horizontal="center" vertical="center" shrinkToFit="1"/>
    </xf>
    <xf numFmtId="0" fontId="3" fillId="7" borderId="76" xfId="0" applyFont="1" applyFill="1" applyBorder="1" applyAlignment="1">
      <alignment horizontal="center" vertical="center" shrinkToFit="1"/>
    </xf>
    <xf numFmtId="0" fontId="4" fillId="18" borderId="77" xfId="0" applyFont="1" applyFill="1" applyBorder="1" applyAlignment="1">
      <alignment horizontal="center" vertical="center" shrinkToFit="1"/>
    </xf>
    <xf numFmtId="0" fontId="3" fillId="7" borderId="78" xfId="0" applyFont="1" applyFill="1" applyBorder="1" applyAlignment="1">
      <alignment horizontal="center" vertical="center"/>
    </xf>
    <xf numFmtId="0" fontId="5" fillId="17" borderId="23" xfId="0" applyFont="1" applyFill="1" applyBorder="1" applyAlignment="1">
      <alignment horizontal="center" vertical="center" shrinkToFit="1"/>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5" fillId="20" borderId="1" xfId="0" applyFont="1" applyFill="1"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0" xfId="0" applyAlignment="1">
      <alignment horizontal="center"/>
    </xf>
    <xf numFmtId="0" fontId="0" fillId="0" borderId="0" xfId="0" applyAlignment="1"/>
    <xf numFmtId="0" fontId="2" fillId="5" borderId="1" xfId="0" applyFont="1" applyFill="1" applyBorder="1" applyAlignment="1">
      <alignment horizontal="center"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vertical="center"/>
    </xf>
    <xf numFmtId="0" fontId="0" fillId="0" borderId="0" xfId="0" applyBorder="1" applyAlignment="1">
      <alignment vertical="center"/>
    </xf>
    <xf numFmtId="0" fontId="70" fillId="0" borderId="8" xfId="0" applyFont="1" applyBorder="1" applyAlignment="1">
      <alignment vertical="center"/>
    </xf>
    <xf numFmtId="0" fontId="70" fillId="0" borderId="0" xfId="0" applyFont="1"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8" xfId="0" applyBorder="1" applyAlignment="1">
      <alignment horizontal="center" vertical="center"/>
    </xf>
    <xf numFmtId="0" fontId="78" fillId="0" borderId="8" xfId="0" applyFont="1" applyBorder="1" applyAlignment="1">
      <alignment vertical="center"/>
    </xf>
    <xf numFmtId="0" fontId="78" fillId="0" borderId="0" xfId="0" applyFont="1" applyBorder="1" applyAlignment="1">
      <alignment vertical="center"/>
    </xf>
    <xf numFmtId="0" fontId="0" fillId="0" borderId="0" xfId="0" applyBorder="1" applyAlignment="1">
      <alignment horizontal="left" vertical="center"/>
    </xf>
    <xf numFmtId="0" fontId="0" fillId="0" borderId="9" xfId="0" applyBorder="1" applyAlignment="1">
      <alignment horizontal="left" vertical="center"/>
    </xf>
    <xf numFmtId="0" fontId="14" fillId="0" borderId="10" xfId="0" applyFont="1" applyBorder="1" applyAlignment="1">
      <alignment horizontal="left" vertical="center"/>
    </xf>
    <xf numFmtId="0" fontId="0" fillId="0" borderId="8" xfId="0" applyBorder="1" applyAlignment="1">
      <alignment horizontal="left" vertical="center"/>
    </xf>
    <xf numFmtId="0" fontId="0" fillId="0" borderId="0" xfId="0" applyBorder="1" applyAlignment="1">
      <alignment vertical="center"/>
    </xf>
    <xf numFmtId="0" fontId="0" fillId="0" borderId="9" xfId="0" applyBorder="1" applyAlignment="1">
      <alignment vertical="center"/>
    </xf>
    <xf numFmtId="0" fontId="70" fillId="0" borderId="8" xfId="0" applyFont="1" applyBorder="1" applyAlignment="1">
      <alignmen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32" fillId="23" borderId="38" xfId="0" applyFont="1" applyFill="1" applyBorder="1" applyAlignment="1">
      <alignment horizontal="center" vertical="center"/>
    </xf>
    <xf numFmtId="0" fontId="32" fillId="21" borderId="41" xfId="0" applyFont="1" applyFill="1" applyBorder="1" applyAlignment="1">
      <alignment horizontal="center" vertical="center"/>
    </xf>
    <xf numFmtId="0" fontId="32" fillId="21" borderId="39" xfId="0" applyFont="1" applyFill="1" applyBorder="1" applyAlignment="1">
      <alignment horizontal="center" vertical="center"/>
    </xf>
    <xf numFmtId="0" fontId="32" fillId="23" borderId="42" xfId="0" applyFont="1" applyFill="1" applyBorder="1" applyAlignment="1">
      <alignment horizontal="center" vertical="center"/>
    </xf>
    <xf numFmtId="0" fontId="35" fillId="23" borderId="11" xfId="0" applyFont="1" applyFill="1" applyBorder="1" applyAlignment="1">
      <alignment horizontal="center" vertical="center"/>
    </xf>
    <xf numFmtId="0" fontId="32" fillId="23" borderId="81" xfId="0" applyFont="1" applyFill="1" applyBorder="1" applyAlignment="1">
      <alignment horizontal="center" vertical="center"/>
    </xf>
    <xf numFmtId="0" fontId="32" fillId="23" borderId="80" xfId="0" applyFont="1" applyFill="1" applyBorder="1" applyAlignment="1">
      <alignment horizontal="center" vertical="center"/>
    </xf>
    <xf numFmtId="0" fontId="33" fillId="27" borderId="37" xfId="0" applyFont="1" applyFill="1" applyBorder="1" applyAlignment="1">
      <alignment horizontal="center" vertical="center"/>
    </xf>
    <xf numFmtId="0" fontId="32" fillId="21" borderId="84" xfId="0" applyFont="1" applyFill="1" applyBorder="1" applyAlignment="1">
      <alignment horizontal="center" vertical="center"/>
    </xf>
    <xf numFmtId="0" fontId="35" fillId="23" borderId="80" xfId="0" applyFont="1" applyFill="1" applyBorder="1" applyAlignment="1">
      <alignment horizontal="distributed" vertical="center" indent="4"/>
    </xf>
    <xf numFmtId="0" fontId="93" fillId="21" borderId="84" xfId="0" applyFont="1" applyFill="1" applyBorder="1" applyAlignment="1">
      <alignment horizontal="center" vertical="center"/>
    </xf>
    <xf numFmtId="0" fontId="93" fillId="23" borderId="38" xfId="0" applyFont="1" applyFill="1" applyBorder="1" applyAlignment="1">
      <alignment horizontal="center" vertical="center"/>
    </xf>
    <xf numFmtId="0" fontId="93" fillId="23" borderId="81" xfId="0" applyFont="1" applyFill="1" applyBorder="1" applyAlignment="1">
      <alignment horizontal="center" vertical="center"/>
    </xf>
    <xf numFmtId="0" fontId="32" fillId="23" borderId="80" xfId="0" applyFont="1" applyFill="1" applyBorder="1" applyAlignment="1">
      <alignment horizontal="left" vertical="center"/>
    </xf>
    <xf numFmtId="0" fontId="32" fillId="23" borderId="42" xfId="0" applyFont="1" applyFill="1" applyBorder="1" applyAlignment="1">
      <alignment horizontal="right" vertical="center"/>
    </xf>
    <xf numFmtId="0" fontId="35" fillId="23" borderId="42" xfId="0" applyFont="1" applyFill="1" applyBorder="1" applyAlignment="1">
      <alignment horizontal="center" vertical="center"/>
    </xf>
    <xf numFmtId="0" fontId="32" fillId="23" borderId="81" xfId="0" applyFont="1" applyFill="1" applyBorder="1" applyAlignment="1">
      <alignment horizontal="center" vertical="center"/>
    </xf>
    <xf numFmtId="0" fontId="32" fillId="23" borderId="81" xfId="0" applyFont="1" applyFill="1" applyBorder="1" applyAlignment="1">
      <alignment horizontal="center" vertical="center"/>
    </xf>
    <xf numFmtId="0" fontId="33" fillId="30" borderId="37" xfId="0" applyFont="1" applyFill="1" applyBorder="1" applyAlignment="1">
      <alignment horizontal="center" vertical="center"/>
    </xf>
    <xf numFmtId="0" fontId="89" fillId="30" borderId="37"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8" fillId="6" borderId="14" xfId="0" applyFont="1" applyFill="1" applyBorder="1" applyAlignment="1">
      <alignment horizontal="center" vertical="center" shrinkToFit="1"/>
    </xf>
    <xf numFmtId="0" fontId="0" fillId="0" borderId="9" xfId="0" applyBorder="1" applyAlignment="1">
      <alignment vertical="center"/>
    </xf>
    <xf numFmtId="0" fontId="8" fillId="11" borderId="14" xfId="0" applyFont="1" applyFill="1" applyBorder="1" applyAlignment="1">
      <alignment horizontal="center" vertical="center" shrinkToFit="1"/>
    </xf>
    <xf numFmtId="0" fontId="97" fillId="0" borderId="8" xfId="0" applyFont="1" applyBorder="1" applyAlignment="1">
      <alignment horizontal="left" vertical="center"/>
    </xf>
    <xf numFmtId="0" fontId="97" fillId="0" borderId="0" xfId="0" applyFont="1" applyBorder="1" applyAlignment="1">
      <alignment horizontal="left" vertical="center"/>
    </xf>
    <xf numFmtId="0" fontId="97" fillId="0" borderId="9" xfId="0" applyFont="1" applyBorder="1" applyAlignment="1">
      <alignment horizontal="left" vertical="center"/>
    </xf>
    <xf numFmtId="0" fontId="17" fillId="9" borderId="13" xfId="0" applyFont="1" applyFill="1" applyBorder="1" applyAlignment="1">
      <alignment horizontal="center" vertical="center"/>
    </xf>
    <xf numFmtId="0" fontId="99" fillId="9" borderId="19" xfId="0" applyFont="1" applyFill="1" applyBorder="1" applyAlignment="1">
      <alignment horizontal="center" vertical="center"/>
    </xf>
    <xf numFmtId="0" fontId="100" fillId="9" borderId="2" xfId="0" applyFont="1" applyFill="1" applyBorder="1" applyAlignment="1">
      <alignment horizontal="center" vertical="center"/>
    </xf>
    <xf numFmtId="0" fontId="101" fillId="5" borderId="1" xfId="0" applyFont="1" applyFill="1" applyBorder="1" applyAlignment="1">
      <alignment horizontal="center" vertical="center"/>
    </xf>
    <xf numFmtId="0" fontId="100" fillId="9" borderId="1" xfId="0" applyFont="1" applyFill="1" applyBorder="1" applyAlignment="1">
      <alignment horizontal="center" vertical="center"/>
    </xf>
    <xf numFmtId="0" fontId="24" fillId="0" borderId="0" xfId="0" applyFont="1">
      <alignment vertical="center"/>
    </xf>
    <xf numFmtId="0" fontId="100" fillId="0" borderId="0" xfId="0" applyFont="1">
      <alignment vertical="center"/>
    </xf>
    <xf numFmtId="0" fontId="103" fillId="0" borderId="0" xfId="0" applyFont="1" applyAlignment="1">
      <alignment horizontal="center" vertical="center"/>
    </xf>
    <xf numFmtId="0" fontId="103" fillId="0" borderId="0" xfId="0" applyFo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9" borderId="14" xfId="0" applyFill="1" applyBorder="1" applyAlignment="1">
      <alignment horizontal="center" vertical="center"/>
    </xf>
    <xf numFmtId="0" fontId="0" fillId="9" borderId="16" xfId="0" applyFill="1" applyBorder="1" applyAlignment="1">
      <alignment horizontal="center" vertical="center"/>
    </xf>
    <xf numFmtId="0" fontId="0" fillId="9" borderId="15" xfId="0" applyFill="1" applyBorder="1" applyAlignment="1">
      <alignment horizontal="center" vertical="center"/>
    </xf>
    <xf numFmtId="0" fontId="2" fillId="5" borderId="1" xfId="0" applyFont="1" applyFill="1" applyBorder="1" applyAlignment="1">
      <alignment horizontal="center" vertical="center"/>
    </xf>
    <xf numFmtId="56" fontId="0" fillId="0" borderId="1" xfId="0" quotePrefix="1" applyNumberFormat="1" applyBorder="1" applyAlignment="1">
      <alignment horizontal="center" vertical="center"/>
    </xf>
    <xf numFmtId="0" fontId="36" fillId="25" borderId="13" xfId="0" applyFont="1" applyFill="1" applyBorder="1" applyAlignment="1">
      <alignment horizontal="center" vertical="center"/>
    </xf>
    <xf numFmtId="0" fontId="36" fillId="25" borderId="19" xfId="0" applyFont="1" applyFill="1" applyBorder="1" applyAlignment="1">
      <alignment horizontal="center" vertical="center"/>
    </xf>
    <xf numFmtId="0" fontId="36" fillId="25" borderId="2" xfId="0" applyFont="1" applyFill="1" applyBorder="1" applyAlignment="1">
      <alignment horizontal="center" vertical="center"/>
    </xf>
    <xf numFmtId="0" fontId="33" fillId="11" borderId="14" xfId="0" applyFont="1" applyFill="1" applyBorder="1" applyAlignment="1">
      <alignment horizontal="center" vertical="center" shrinkToFit="1"/>
    </xf>
    <xf numFmtId="0" fontId="33" fillId="11" borderId="15" xfId="0" applyFont="1" applyFill="1" applyBorder="1" applyAlignment="1">
      <alignment horizontal="center" vertical="center" shrinkToFit="1"/>
    </xf>
    <xf numFmtId="0" fontId="33" fillId="11" borderId="16" xfId="0" applyFont="1" applyFill="1" applyBorder="1" applyAlignment="1">
      <alignment horizontal="center" vertical="center" shrinkToFit="1"/>
    </xf>
    <xf numFmtId="0" fontId="32" fillId="5" borderId="39" xfId="0" applyFont="1" applyFill="1" applyBorder="1" applyAlignment="1">
      <alignment horizontal="center" vertical="center" shrinkToFit="1"/>
    </xf>
    <xf numFmtId="0" fontId="32" fillId="5" borderId="42" xfId="0" applyFont="1" applyFill="1" applyBorder="1" applyAlignment="1">
      <alignment horizontal="center" vertical="center" shrinkToFit="1"/>
    </xf>
    <xf numFmtId="0" fontId="32" fillId="23" borderId="85" xfId="0" applyFont="1" applyFill="1" applyBorder="1" applyAlignment="1">
      <alignment horizontal="center" vertical="center"/>
    </xf>
    <xf numFmtId="0" fontId="32" fillId="23" borderId="81" xfId="0" applyFont="1" applyFill="1" applyBorder="1" applyAlignment="1">
      <alignment horizontal="center" vertical="center"/>
    </xf>
    <xf numFmtId="0" fontId="36" fillId="26" borderId="13" xfId="0" applyFont="1" applyFill="1" applyBorder="1" applyAlignment="1">
      <alignment horizontal="center" vertical="center"/>
    </xf>
    <xf numFmtId="0" fontId="36" fillId="26" borderId="19" xfId="0" applyFont="1" applyFill="1" applyBorder="1" applyAlignment="1">
      <alignment horizontal="center" vertical="center"/>
    </xf>
    <xf numFmtId="0" fontId="36" fillId="26" borderId="2" xfId="0" applyFont="1" applyFill="1" applyBorder="1" applyAlignment="1">
      <alignment horizontal="center" vertical="center"/>
    </xf>
    <xf numFmtId="0" fontId="33" fillId="6" borderId="14" xfId="0" applyFont="1" applyFill="1" applyBorder="1" applyAlignment="1">
      <alignment horizontal="center" vertical="center" shrinkToFit="1"/>
    </xf>
    <xf numFmtId="0" fontId="33" fillId="6" borderId="15" xfId="0" applyFont="1" applyFill="1" applyBorder="1" applyAlignment="1">
      <alignment horizontal="center" vertical="center" shrinkToFit="1"/>
    </xf>
    <xf numFmtId="0" fontId="33" fillId="6" borderId="16" xfId="0" applyFont="1" applyFill="1" applyBorder="1" applyAlignment="1">
      <alignment horizontal="center" vertical="center" shrinkToFit="1"/>
    </xf>
    <xf numFmtId="0" fontId="5" fillId="28" borderId="5" xfId="0" applyFont="1" applyFill="1" applyBorder="1" applyAlignment="1">
      <alignment horizontal="left" vertical="center"/>
    </xf>
    <xf numFmtId="0" fontId="5" fillId="28" borderId="6" xfId="0" applyFont="1" applyFill="1" applyBorder="1" applyAlignment="1">
      <alignment horizontal="left" vertical="center"/>
    </xf>
    <xf numFmtId="0" fontId="5" fillId="28" borderId="7" xfId="0" applyFont="1" applyFill="1" applyBorder="1" applyAlignment="1">
      <alignment horizontal="left" vertical="center"/>
    </xf>
    <xf numFmtId="0" fontId="5" fillId="28" borderId="10" xfId="0" applyFont="1" applyFill="1" applyBorder="1" applyAlignment="1">
      <alignment vertical="center"/>
    </xf>
    <xf numFmtId="0" fontId="5" fillId="28" borderId="11" xfId="0" applyFont="1" applyFill="1" applyBorder="1" applyAlignment="1">
      <alignment vertical="center"/>
    </xf>
    <xf numFmtId="0" fontId="5" fillId="28" borderId="12" xfId="0" applyFont="1" applyFill="1" applyBorder="1" applyAlignment="1">
      <alignment vertical="center"/>
    </xf>
    <xf numFmtId="0" fontId="5" fillId="29" borderId="8" xfId="0" applyFont="1" applyFill="1" applyBorder="1" applyAlignment="1">
      <alignment vertical="center"/>
    </xf>
    <xf numFmtId="0" fontId="5" fillId="29" borderId="0" xfId="0" applyFont="1" applyFill="1" applyBorder="1" applyAlignment="1">
      <alignment vertical="center"/>
    </xf>
    <xf numFmtId="0" fontId="5" fillId="29" borderId="9" xfId="0" applyFont="1" applyFill="1" applyBorder="1" applyAlignment="1">
      <alignment vertical="center"/>
    </xf>
    <xf numFmtId="0" fontId="5" fillId="29" borderId="10" xfId="0" applyFont="1" applyFill="1" applyBorder="1" applyAlignment="1">
      <alignment vertical="center"/>
    </xf>
    <xf numFmtId="0" fontId="5" fillId="29" borderId="11" xfId="0" applyFont="1" applyFill="1" applyBorder="1" applyAlignment="1">
      <alignment vertical="center"/>
    </xf>
    <xf numFmtId="0" fontId="5" fillId="29" borderId="12" xfId="0" applyFont="1" applyFill="1" applyBorder="1" applyAlignment="1">
      <alignment vertical="center"/>
    </xf>
    <xf numFmtId="0" fontId="32" fillId="23" borderId="32" xfId="0" applyFont="1" applyFill="1" applyBorder="1" applyAlignment="1">
      <alignment horizontal="center" vertical="center"/>
    </xf>
    <xf numFmtId="0" fontId="32" fillId="23" borderId="82" xfId="0" applyFont="1" applyFill="1" applyBorder="1" applyAlignment="1">
      <alignment horizontal="center" vertical="center"/>
    </xf>
    <xf numFmtId="0" fontId="32" fillId="23" borderId="83" xfId="0" applyFont="1" applyFill="1" applyBorder="1" applyAlignment="1">
      <alignment horizontal="center" vertical="center"/>
    </xf>
    <xf numFmtId="0" fontId="94" fillId="18" borderId="13" xfId="0" applyFont="1" applyFill="1" applyBorder="1" applyAlignment="1">
      <alignment horizontal="center" vertical="center"/>
    </xf>
    <xf numFmtId="0" fontId="94" fillId="18" borderId="19" xfId="0" applyFont="1" applyFill="1" applyBorder="1" applyAlignment="1">
      <alignment horizontal="center" vertical="center"/>
    </xf>
    <xf numFmtId="0" fontId="95" fillId="18" borderId="19" xfId="0" applyFont="1" applyFill="1" applyBorder="1" applyAlignment="1">
      <alignment horizontal="center" vertical="center"/>
    </xf>
    <xf numFmtId="0" fontId="95" fillId="18" borderId="2" xfId="0" applyFont="1" applyFill="1" applyBorder="1" applyAlignment="1">
      <alignment horizontal="center" vertical="center"/>
    </xf>
    <xf numFmtId="0" fontId="32" fillId="23" borderId="86" xfId="0" applyFont="1" applyFill="1" applyBorder="1" applyAlignment="1">
      <alignment horizontal="center" vertical="center"/>
    </xf>
    <xf numFmtId="0" fontId="32" fillId="23" borderId="38" xfId="0" applyFont="1" applyFill="1" applyBorder="1" applyAlignment="1">
      <alignment horizontal="center" vertical="center"/>
    </xf>
    <xf numFmtId="0" fontId="33" fillId="14" borderId="14" xfId="0" applyFont="1" applyFill="1" applyBorder="1" applyAlignment="1">
      <alignment horizontal="center" vertical="center" shrinkToFit="1"/>
    </xf>
    <xf numFmtId="0" fontId="33" fillId="14" borderId="15" xfId="0" applyFont="1" applyFill="1" applyBorder="1" applyAlignment="1">
      <alignment horizontal="center" vertical="center" shrinkToFit="1"/>
    </xf>
    <xf numFmtId="0" fontId="33" fillId="14" borderId="16" xfId="0" applyFont="1" applyFill="1" applyBorder="1" applyAlignment="1">
      <alignment horizontal="center" vertical="center" shrinkToFit="1"/>
    </xf>
    <xf numFmtId="0" fontId="92" fillId="0" borderId="15" xfId="0" applyFont="1" applyBorder="1" applyAlignment="1"/>
    <xf numFmtId="0" fontId="0" fillId="0" borderId="15" xfId="0" applyBorder="1" applyAlignment="1"/>
    <xf numFmtId="0" fontId="34" fillId="24" borderId="13" xfId="0" applyFont="1" applyFill="1" applyBorder="1" applyAlignment="1">
      <alignment horizontal="center" vertical="center"/>
    </xf>
    <xf numFmtId="0" fontId="34" fillId="24" borderId="19" xfId="0" applyFont="1" applyFill="1" applyBorder="1" applyAlignment="1">
      <alignment horizontal="center" vertical="center"/>
    </xf>
    <xf numFmtId="0" fontId="34" fillId="24" borderId="2" xfId="0" applyFont="1" applyFill="1" applyBorder="1" applyAlignment="1">
      <alignment horizontal="center" vertical="center"/>
    </xf>
    <xf numFmtId="0" fontId="90" fillId="24" borderId="14" xfId="0" applyFont="1" applyFill="1" applyBorder="1" applyAlignment="1">
      <alignment horizontal="center" vertical="center"/>
    </xf>
    <xf numFmtId="0" fontId="90" fillId="24" borderId="15" xfId="0" applyFont="1" applyFill="1" applyBorder="1" applyAlignment="1">
      <alignment horizontal="center" vertical="center"/>
    </xf>
    <xf numFmtId="0" fontId="90" fillId="24" borderId="16" xfId="0" applyFont="1" applyFill="1" applyBorder="1" applyAlignment="1">
      <alignment horizontal="center" vertical="center"/>
    </xf>
    <xf numFmtId="0" fontId="32" fillId="23" borderId="40" xfId="0" applyFont="1" applyFill="1" applyBorder="1" applyAlignment="1">
      <alignment horizontal="center" vertical="center"/>
    </xf>
    <xf numFmtId="0" fontId="35" fillId="21" borderId="39" xfId="0" applyFont="1" applyFill="1" applyBorder="1" applyAlignment="1">
      <alignment horizontal="center" vertical="center"/>
    </xf>
    <xf numFmtId="0" fontId="35" fillId="21" borderId="41" xfId="0" applyFont="1" applyFill="1" applyBorder="1" applyAlignment="1">
      <alignment horizontal="center" vertical="center"/>
    </xf>
    <xf numFmtId="0" fontId="35" fillId="5" borderId="39" xfId="0" applyFont="1" applyFill="1" applyBorder="1" applyAlignment="1">
      <alignment horizontal="center" vertical="center"/>
    </xf>
    <xf numFmtId="0" fontId="35" fillId="5" borderId="42" xfId="0" applyFont="1" applyFill="1" applyBorder="1" applyAlignment="1">
      <alignment horizontal="center" vertical="center"/>
    </xf>
    <xf numFmtId="0" fontId="35" fillId="23" borderId="32" xfId="0" applyFont="1" applyFill="1" applyBorder="1" applyAlignment="1">
      <alignment horizontal="center" vertical="center"/>
    </xf>
    <xf numFmtId="0" fontId="35" fillId="23" borderId="79" xfId="0" applyFont="1" applyFill="1" applyBorder="1" applyAlignment="1">
      <alignment horizontal="center" vertical="center"/>
    </xf>
    <xf numFmtId="0" fontId="35" fillId="23" borderId="76" xfId="0" applyFont="1" applyFill="1" applyBorder="1" applyAlignment="1">
      <alignment horizontal="center" vertical="center"/>
    </xf>
    <xf numFmtId="0" fontId="36" fillId="22" borderId="13" xfId="0" applyFont="1" applyFill="1" applyBorder="1" applyAlignment="1">
      <alignment horizontal="center" vertical="center"/>
    </xf>
    <xf numFmtId="0" fontId="36" fillId="22" borderId="19" xfId="0" applyFont="1" applyFill="1" applyBorder="1" applyAlignment="1">
      <alignment horizontal="center" vertical="center"/>
    </xf>
    <xf numFmtId="0" fontId="36" fillId="22" borderId="2" xfId="0" applyFont="1" applyFill="1" applyBorder="1" applyAlignment="1">
      <alignment horizontal="center" vertical="center"/>
    </xf>
    <xf numFmtId="0" fontId="15" fillId="0" borderId="0" xfId="0" applyFont="1" applyBorder="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19" fillId="0" borderId="0" xfId="0" applyFont="1" applyAlignment="1">
      <alignment horizontal="left" vertical="center"/>
    </xf>
    <xf numFmtId="0" fontId="14" fillId="0" borderId="8" xfId="0" applyFont="1"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14" fillId="0" borderId="1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37" fillId="16" borderId="25" xfId="0" applyFont="1" applyFill="1" applyBorder="1" applyAlignment="1">
      <alignment horizontal="center" vertical="center" wrapText="1"/>
    </xf>
    <xf numFmtId="0" fontId="37" fillId="16" borderId="3" xfId="0" applyFont="1" applyFill="1" applyBorder="1" applyAlignment="1">
      <alignment horizontal="center" vertical="center" wrapText="1"/>
    </xf>
    <xf numFmtId="0" fontId="0" fillId="0" borderId="8" xfId="0" applyBorder="1" applyAlignment="1">
      <alignment horizontal="left" vertical="center"/>
    </xf>
    <xf numFmtId="0" fontId="43" fillId="0" borderId="8"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left" vertical="center"/>
    </xf>
    <xf numFmtId="0" fontId="58" fillId="0" borderId="8" xfId="0" applyFont="1" applyBorder="1" applyAlignment="1">
      <alignment horizontal="left" vertical="center"/>
    </xf>
    <xf numFmtId="0" fontId="58" fillId="0" borderId="0" xfId="0" applyFont="1" applyBorder="1" applyAlignment="1">
      <alignment horizontal="left" vertical="center"/>
    </xf>
    <xf numFmtId="0" fontId="58" fillId="0" borderId="9" xfId="0" applyFont="1" applyBorder="1" applyAlignment="1">
      <alignment horizontal="left" vertical="center"/>
    </xf>
    <xf numFmtId="0" fontId="5" fillId="6" borderId="51" xfId="0" applyFont="1" applyFill="1" applyBorder="1" applyAlignment="1">
      <alignment horizontal="center" vertical="center" shrinkToFit="1"/>
    </xf>
    <xf numFmtId="0" fontId="5" fillId="6" borderId="52" xfId="0" applyFont="1" applyFill="1" applyBorder="1" applyAlignment="1">
      <alignment horizontal="center" vertical="center" shrinkToFit="1"/>
    </xf>
    <xf numFmtId="0" fontId="5" fillId="6" borderId="53" xfId="0" applyFont="1" applyFill="1" applyBorder="1" applyAlignment="1">
      <alignment horizontal="center" vertical="center" shrinkToFit="1"/>
    </xf>
    <xf numFmtId="0" fontId="5" fillId="6" borderId="54" xfId="0" applyFont="1" applyFill="1" applyBorder="1" applyAlignment="1">
      <alignment horizontal="center" vertical="center" shrinkToFit="1"/>
    </xf>
    <xf numFmtId="0" fontId="5" fillId="6" borderId="55" xfId="0" applyFont="1" applyFill="1" applyBorder="1" applyAlignment="1">
      <alignment horizontal="center" vertical="center" shrinkToFit="1"/>
    </xf>
    <xf numFmtId="0" fontId="5" fillId="6" borderId="56" xfId="0" applyFont="1" applyFill="1" applyBorder="1" applyAlignment="1">
      <alignment horizontal="center" vertical="center" shrinkToFit="1"/>
    </xf>
    <xf numFmtId="0" fontId="41" fillId="15" borderId="60" xfId="0" applyFont="1" applyFill="1" applyBorder="1" applyAlignment="1">
      <alignment horizontal="distributed" vertical="center" wrapText="1" indent="3"/>
    </xf>
    <xf numFmtId="0" fontId="41" fillId="15" borderId="61" xfId="0" applyFont="1" applyFill="1" applyBorder="1" applyAlignment="1">
      <alignment horizontal="distributed" vertical="center" wrapText="1" indent="3"/>
    </xf>
    <xf numFmtId="0" fontId="41" fillId="15" borderId="62" xfId="0" applyFont="1" applyFill="1" applyBorder="1" applyAlignment="1">
      <alignment horizontal="distributed" vertical="center" wrapText="1" indent="3"/>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11" fillId="10" borderId="70" xfId="0" applyFont="1" applyFill="1" applyBorder="1" applyAlignment="1">
      <alignment horizontal="center" vertical="center" shrinkToFit="1"/>
    </xf>
    <xf numFmtId="0" fontId="11" fillId="10" borderId="18" xfId="0" applyFont="1" applyFill="1" applyBorder="1" applyAlignment="1">
      <alignment horizontal="center" vertical="center" shrinkToFit="1"/>
    </xf>
    <xf numFmtId="0" fontId="8" fillId="6" borderId="14" xfId="0" applyFont="1" applyFill="1" applyBorder="1" applyAlignment="1">
      <alignment horizontal="center" vertical="center"/>
    </xf>
    <xf numFmtId="0" fontId="8" fillId="6" borderId="16"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6" xfId="0" applyFont="1" applyFill="1" applyBorder="1" applyAlignment="1">
      <alignment horizontal="center" vertical="center"/>
    </xf>
    <xf numFmtId="0" fontId="8" fillId="6" borderId="1"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67" fillId="0" borderId="8" xfId="0" applyFont="1" applyBorder="1" applyAlignment="1">
      <alignment horizontal="left" vertical="center"/>
    </xf>
    <xf numFmtId="0" fontId="67" fillId="0" borderId="0" xfId="0" applyFont="1" applyBorder="1" applyAlignment="1">
      <alignment horizontal="left" vertical="center"/>
    </xf>
    <xf numFmtId="0" fontId="67" fillId="0" borderId="9" xfId="0" applyFont="1" applyBorder="1" applyAlignment="1">
      <alignment horizontal="left" vertical="center"/>
    </xf>
    <xf numFmtId="0" fontId="0" fillId="0" borderId="10" xfId="0" applyBorder="1" applyAlignment="1">
      <alignment horizontal="left" vertical="center"/>
    </xf>
    <xf numFmtId="0" fontId="8" fillId="6" borderId="14" xfId="0" applyFont="1" applyFill="1" applyBorder="1" applyAlignment="1">
      <alignment horizontal="center" vertical="center" shrinkToFit="1"/>
    </xf>
    <xf numFmtId="0" fontId="8" fillId="6" borderId="15" xfId="0" applyFont="1" applyFill="1" applyBorder="1" applyAlignment="1">
      <alignment horizontal="center" vertical="center" shrinkToFit="1"/>
    </xf>
    <xf numFmtId="0" fontId="8" fillId="6" borderId="16" xfId="0" applyFont="1" applyFill="1" applyBorder="1" applyAlignment="1">
      <alignment horizontal="center" vertical="center" shrinkToFit="1"/>
    </xf>
    <xf numFmtId="0" fontId="47" fillId="0" borderId="8" xfId="0" applyFont="1" applyBorder="1" applyAlignment="1">
      <alignment horizontal="left"/>
    </xf>
    <xf numFmtId="0" fontId="47" fillId="0" borderId="0" xfId="0" applyFont="1" applyBorder="1" applyAlignment="1">
      <alignment horizontal="left"/>
    </xf>
    <xf numFmtId="0" fontId="47" fillId="0" borderId="9" xfId="0" applyFont="1" applyBorder="1" applyAlignment="1">
      <alignment horizontal="left"/>
    </xf>
    <xf numFmtId="0" fontId="14" fillId="0" borderId="8" xfId="0" applyFont="1"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0" fillId="0" borderId="8" xfId="0" applyBorder="1" applyAlignment="1">
      <alignment horizontal="left"/>
    </xf>
    <xf numFmtId="0" fontId="62" fillId="0" borderId="8" xfId="0" applyFont="1" applyBorder="1" applyAlignment="1">
      <alignment horizontal="left" vertical="center"/>
    </xf>
    <xf numFmtId="0" fontId="62" fillId="0" borderId="0" xfId="0" applyFont="1" applyBorder="1" applyAlignment="1">
      <alignment horizontal="left" vertical="center"/>
    </xf>
    <xf numFmtId="0" fontId="62" fillId="0" borderId="9" xfId="0" applyFont="1" applyBorder="1" applyAlignment="1">
      <alignment horizontal="left" vertical="center"/>
    </xf>
    <xf numFmtId="0" fontId="26" fillId="0" borderId="8" xfId="0" applyFont="1" applyBorder="1" applyAlignment="1">
      <alignment horizontal="left" vertical="center"/>
    </xf>
    <xf numFmtId="0" fontId="10" fillId="0" borderId="0" xfId="0" applyFont="1" applyBorder="1" applyAlignment="1">
      <alignment horizontal="left" vertical="center"/>
    </xf>
    <xf numFmtId="0" fontId="10" fillId="0" borderId="9" xfId="0" applyFont="1" applyBorder="1" applyAlignment="1">
      <alignment horizontal="left" vertical="center"/>
    </xf>
    <xf numFmtId="0" fontId="50" fillId="0" borderId="8" xfId="0" applyFont="1" applyBorder="1" applyAlignment="1">
      <alignment horizontal="right"/>
    </xf>
    <xf numFmtId="0" fontId="42" fillId="0" borderId="0" xfId="0" applyFont="1" applyBorder="1" applyAlignment="1">
      <alignment horizontal="right"/>
    </xf>
    <xf numFmtId="0" fontId="4" fillId="0" borderId="17"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5" fillId="0" borderId="8" xfId="0" applyFont="1" applyBorder="1" applyAlignment="1">
      <alignment horizontal="left"/>
    </xf>
    <xf numFmtId="0" fontId="15" fillId="0" borderId="0" xfId="0" applyFont="1" applyBorder="1" applyAlignment="1">
      <alignment horizontal="left"/>
    </xf>
    <xf numFmtId="0" fontId="15" fillId="0" borderId="9" xfId="0" applyFont="1" applyBorder="1" applyAlignment="1">
      <alignment horizontal="left"/>
    </xf>
    <xf numFmtId="0" fontId="0" fillId="0" borderId="0" xfId="0" applyBorder="1" applyAlignment="1">
      <alignment vertical="center"/>
    </xf>
    <xf numFmtId="0" fontId="0" fillId="0" borderId="9" xfId="0" applyBorder="1" applyAlignment="1">
      <alignment vertical="center"/>
    </xf>
    <xf numFmtId="0" fontId="8" fillId="14" borderId="14" xfId="0" applyFont="1" applyFill="1" applyBorder="1" applyAlignment="1">
      <alignment horizontal="center" vertical="center" shrinkToFit="1"/>
    </xf>
    <xf numFmtId="0" fontId="8" fillId="14" borderId="15" xfId="0" applyFont="1" applyFill="1" applyBorder="1" applyAlignment="1">
      <alignment horizontal="center" vertical="center" shrinkToFit="1"/>
    </xf>
    <xf numFmtId="0" fontId="8" fillId="14" borderId="16" xfId="0" applyFont="1" applyFill="1" applyBorder="1" applyAlignment="1">
      <alignment horizontal="center" vertical="center" shrinkToFit="1"/>
    </xf>
    <xf numFmtId="0" fontId="26" fillId="0" borderId="8" xfId="0" applyFont="1" applyBorder="1" applyAlignment="1">
      <alignment horizontal="left"/>
    </xf>
    <xf numFmtId="0" fontId="10" fillId="0" borderId="0" xfId="0" applyFont="1" applyBorder="1" applyAlignment="1">
      <alignment horizontal="left"/>
    </xf>
    <xf numFmtId="0" fontId="10" fillId="0" borderId="9" xfId="0" applyFont="1" applyBorder="1" applyAlignment="1">
      <alignment horizontal="left"/>
    </xf>
    <xf numFmtId="0" fontId="68" fillId="0" borderId="8" xfId="0" applyFont="1" applyBorder="1" applyAlignment="1">
      <alignment horizontal="left"/>
    </xf>
    <xf numFmtId="0" fontId="68" fillId="0" borderId="0" xfId="0" applyFont="1" applyBorder="1" applyAlignment="1">
      <alignment horizontal="left"/>
    </xf>
    <xf numFmtId="0" fontId="68" fillId="0" borderId="9" xfId="0" applyFont="1" applyBorder="1" applyAlignment="1">
      <alignment horizontal="left"/>
    </xf>
    <xf numFmtId="0" fontId="72" fillId="0" borderId="8" xfId="0" applyFont="1" applyBorder="1" applyAlignment="1">
      <alignment horizontal="left" vertical="center"/>
    </xf>
    <xf numFmtId="0" fontId="72" fillId="0" borderId="0" xfId="0" applyFont="1" applyBorder="1" applyAlignment="1">
      <alignment horizontal="left" vertical="center"/>
    </xf>
    <xf numFmtId="0" fontId="72" fillId="0" borderId="9" xfId="0" applyFont="1" applyBorder="1" applyAlignment="1">
      <alignment horizontal="left" vertical="center"/>
    </xf>
    <xf numFmtId="0" fontId="70" fillId="0" borderId="8" xfId="0" applyFont="1" applyBorder="1" applyAlignment="1">
      <alignment vertical="center"/>
    </xf>
    <xf numFmtId="0" fontId="70" fillId="0" borderId="0" xfId="0" applyFont="1" applyBorder="1" applyAlignment="1">
      <alignment vertical="center"/>
    </xf>
    <xf numFmtId="0" fontId="5" fillId="15" borderId="14" xfId="0" applyFont="1" applyFill="1" applyBorder="1" applyAlignment="1">
      <alignment horizontal="left" vertical="center"/>
    </xf>
    <xf numFmtId="0" fontId="5" fillId="15" borderId="15" xfId="0" applyFont="1" applyFill="1" applyBorder="1" applyAlignment="1">
      <alignment horizontal="left" vertical="center"/>
    </xf>
    <xf numFmtId="0" fontId="5" fillId="15" borderId="16" xfId="0" applyFont="1" applyFill="1" applyBorder="1" applyAlignment="1">
      <alignment horizontal="left" vertical="center"/>
    </xf>
    <xf numFmtId="0" fontId="8" fillId="14" borderId="14" xfId="0" applyFont="1" applyFill="1" applyBorder="1" applyAlignment="1">
      <alignment horizontal="center" vertical="center"/>
    </xf>
    <xf numFmtId="0" fontId="8" fillId="14" borderId="16" xfId="0" applyFont="1" applyFill="1" applyBorder="1" applyAlignment="1">
      <alignment horizontal="center" vertical="center"/>
    </xf>
    <xf numFmtId="0" fontId="9" fillId="14" borderId="14" xfId="0" applyFont="1" applyFill="1" applyBorder="1" applyAlignment="1">
      <alignment horizontal="center" vertical="center"/>
    </xf>
    <xf numFmtId="0" fontId="9" fillId="14" borderId="16" xfId="0" applyFont="1" applyFill="1" applyBorder="1" applyAlignment="1">
      <alignment horizontal="center" vertical="center"/>
    </xf>
    <xf numFmtId="0" fontId="8" fillId="14" borderId="1" xfId="0" applyFont="1" applyFill="1" applyBorder="1" applyAlignment="1">
      <alignment horizontal="left" vertical="center"/>
    </xf>
    <xf numFmtId="0" fontId="24" fillId="0" borderId="8" xfId="0" applyFont="1" applyBorder="1" applyAlignment="1">
      <alignment horizontal="left" vertical="center"/>
    </xf>
    <xf numFmtId="0" fontId="24" fillId="0" borderId="0" xfId="0" applyFont="1" applyBorder="1" applyAlignment="1">
      <alignment horizontal="left" vertical="center"/>
    </xf>
    <xf numFmtId="0" fontId="24" fillId="0" borderId="9" xfId="0" applyFont="1" applyBorder="1" applyAlignment="1">
      <alignment horizontal="lef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0" fillId="0" borderId="74" xfId="0" applyBorder="1" applyAlignment="1">
      <alignment horizontal="left" vertical="center"/>
    </xf>
    <xf numFmtId="0" fontId="5" fillId="14" borderId="51" xfId="0" applyFont="1" applyFill="1" applyBorder="1" applyAlignment="1">
      <alignment horizontal="center" vertical="center" shrinkToFit="1"/>
    </xf>
    <xf numFmtId="0" fontId="5" fillId="14" borderId="52" xfId="0" applyFont="1" applyFill="1" applyBorder="1" applyAlignment="1">
      <alignment horizontal="center" vertical="center" shrinkToFit="1"/>
    </xf>
    <xf numFmtId="0" fontId="5" fillId="14" borderId="53" xfId="0" applyFont="1" applyFill="1" applyBorder="1" applyAlignment="1">
      <alignment horizontal="center" vertical="center" shrinkToFit="1"/>
    </xf>
    <xf numFmtId="0" fontId="5" fillId="14" borderId="54" xfId="0" applyFont="1" applyFill="1" applyBorder="1" applyAlignment="1">
      <alignment horizontal="center" vertical="center" shrinkToFit="1"/>
    </xf>
    <xf numFmtId="0" fontId="5" fillId="14" borderId="55" xfId="0" applyFont="1" applyFill="1" applyBorder="1" applyAlignment="1">
      <alignment horizontal="center" vertical="center" shrinkToFit="1"/>
    </xf>
    <xf numFmtId="0" fontId="5" fillId="14" borderId="56" xfId="0" applyFont="1" applyFill="1" applyBorder="1" applyAlignment="1">
      <alignment horizontal="center" vertical="center" shrinkToFit="1"/>
    </xf>
    <xf numFmtId="0" fontId="19" fillId="0" borderId="8" xfId="0" applyFont="1" applyBorder="1" applyAlignment="1">
      <alignment horizontal="left" vertical="center"/>
    </xf>
    <xf numFmtId="0" fontId="19" fillId="0" borderId="0" xfId="0" applyFont="1" applyBorder="1" applyAlignment="1">
      <alignment horizontal="left" vertical="center"/>
    </xf>
    <xf numFmtId="0" fontId="19" fillId="0" borderId="9" xfId="0" applyFont="1" applyBorder="1" applyAlignment="1">
      <alignment horizontal="left"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26" fillId="0" borderId="9" xfId="0" applyFont="1" applyBorder="1" applyAlignment="1">
      <alignment horizontal="center" vertical="center"/>
    </xf>
    <xf numFmtId="0" fontId="70" fillId="0" borderId="8" xfId="0" applyFont="1" applyBorder="1" applyAlignment="1">
      <alignment horizontal="left" vertical="center"/>
    </xf>
    <xf numFmtId="0" fontId="70" fillId="0" borderId="0" xfId="0" applyFont="1" applyBorder="1" applyAlignment="1">
      <alignment horizontal="left" vertical="center"/>
    </xf>
    <xf numFmtId="0" fontId="70" fillId="0" borderId="9"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02" fillId="0" borderId="8" xfId="0" applyFont="1" applyBorder="1" applyAlignment="1">
      <alignment horizontal="left" vertical="center"/>
    </xf>
    <xf numFmtId="0" fontId="102" fillId="0" borderId="0" xfId="0" applyFont="1" applyBorder="1" applyAlignment="1">
      <alignment horizontal="left" vertical="center"/>
    </xf>
    <xf numFmtId="0" fontId="102" fillId="0" borderId="9" xfId="0" applyFont="1" applyBorder="1" applyAlignment="1">
      <alignment horizontal="left" vertical="center"/>
    </xf>
    <xf numFmtId="0" fontId="78" fillId="0" borderId="8" xfId="0" applyFont="1" applyBorder="1" applyAlignment="1">
      <alignment vertical="center"/>
    </xf>
    <xf numFmtId="0" fontId="78" fillId="0" borderId="0" xfId="0" applyFont="1" applyBorder="1" applyAlignment="1">
      <alignment vertical="center"/>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04" fillId="0" borderId="8" xfId="0" applyFont="1" applyBorder="1" applyAlignment="1">
      <alignment horizontal="left" vertical="center"/>
    </xf>
    <xf numFmtId="0" fontId="104" fillId="0" borderId="0" xfId="0" applyFont="1" applyBorder="1" applyAlignment="1">
      <alignment horizontal="left" vertical="center"/>
    </xf>
    <xf numFmtId="0" fontId="104" fillId="0" borderId="9" xfId="0" applyFont="1" applyBorder="1" applyAlignment="1">
      <alignment horizontal="left" vertical="center"/>
    </xf>
    <xf numFmtId="0" fontId="104" fillId="0" borderId="8" xfId="0" applyFont="1" applyBorder="1" applyAlignment="1">
      <alignment horizontal="left"/>
    </xf>
    <xf numFmtId="0" fontId="104" fillId="0" borderId="0" xfId="0" applyFont="1" applyBorder="1" applyAlignment="1">
      <alignment horizontal="left"/>
    </xf>
    <xf numFmtId="0" fontId="104" fillId="0" borderId="9" xfId="0" applyFont="1" applyBorder="1" applyAlignment="1">
      <alignment horizontal="left"/>
    </xf>
    <xf numFmtId="0" fontId="8" fillId="11" borderId="14" xfId="0" applyFont="1" applyFill="1" applyBorder="1" applyAlignment="1">
      <alignment horizontal="center" vertical="center"/>
    </xf>
    <xf numFmtId="0" fontId="8" fillId="11" borderId="16"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16" xfId="0" applyFont="1" applyFill="1" applyBorder="1" applyAlignment="1">
      <alignment horizontal="center" vertical="center"/>
    </xf>
    <xf numFmtId="0" fontId="8" fillId="11" borderId="1" xfId="0" applyFont="1" applyFill="1" applyBorder="1" applyAlignment="1">
      <alignment horizontal="left" vertical="center"/>
    </xf>
    <xf numFmtId="0" fontId="5" fillId="4" borderId="65"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11" borderId="51" xfId="0" applyFont="1" applyFill="1" applyBorder="1" applyAlignment="1">
      <alignment horizontal="center" vertical="center" shrinkToFit="1"/>
    </xf>
    <xf numFmtId="0" fontId="5" fillId="11" borderId="52" xfId="0" applyFont="1" applyFill="1" applyBorder="1" applyAlignment="1">
      <alignment horizontal="center" vertical="center" shrinkToFit="1"/>
    </xf>
    <xf numFmtId="0" fontId="5" fillId="11" borderId="53" xfId="0" applyFont="1" applyFill="1" applyBorder="1" applyAlignment="1">
      <alignment horizontal="center" vertical="center" shrinkToFit="1"/>
    </xf>
    <xf numFmtId="0" fontId="5" fillId="11" borderId="54" xfId="0" applyFont="1" applyFill="1" applyBorder="1" applyAlignment="1">
      <alignment horizontal="center" vertical="center" shrinkToFit="1"/>
    </xf>
    <xf numFmtId="0" fontId="5" fillId="11" borderId="55" xfId="0" applyFont="1" applyFill="1" applyBorder="1" applyAlignment="1">
      <alignment horizontal="center" vertical="center" shrinkToFit="1"/>
    </xf>
    <xf numFmtId="0" fontId="5" fillId="11" borderId="56" xfId="0" applyFont="1" applyFill="1" applyBorder="1" applyAlignment="1">
      <alignment horizontal="center" vertical="center" shrinkToFit="1"/>
    </xf>
    <xf numFmtId="0" fontId="8" fillId="11" borderId="14" xfId="0" applyFont="1" applyFill="1" applyBorder="1" applyAlignment="1">
      <alignment horizontal="center" vertical="center" shrinkToFit="1"/>
    </xf>
    <xf numFmtId="0" fontId="8" fillId="11" borderId="15" xfId="0" applyFont="1" applyFill="1" applyBorder="1" applyAlignment="1">
      <alignment horizontal="center" vertical="center" shrinkToFit="1"/>
    </xf>
    <xf numFmtId="0" fontId="8" fillId="11" borderId="16" xfId="0" applyFont="1" applyFill="1" applyBorder="1" applyAlignment="1">
      <alignment horizontal="center" vertical="center" shrinkToFit="1"/>
    </xf>
    <xf numFmtId="0" fontId="74" fillId="0" borderId="8" xfId="0" applyFont="1" applyBorder="1" applyAlignment="1">
      <alignment horizontal="center" vertical="center"/>
    </xf>
    <xf numFmtId="0" fontId="74" fillId="0" borderId="0" xfId="0" applyFont="1" applyBorder="1" applyAlignment="1">
      <alignment horizontal="center" vertical="center"/>
    </xf>
    <xf numFmtId="0" fontId="74" fillId="0" borderId="9" xfId="0" applyFont="1" applyBorder="1" applyAlignment="1">
      <alignment horizontal="center" vertical="center"/>
    </xf>
    <xf numFmtId="0" fontId="5" fillId="4" borderId="20" xfId="0" applyFont="1" applyFill="1" applyBorder="1" applyAlignment="1">
      <alignment horizontal="center" vertical="center" shrinkToFit="1"/>
    </xf>
    <xf numFmtId="0" fontId="37" fillId="16" borderId="24" xfId="0" applyFont="1" applyFill="1" applyBorder="1" applyAlignment="1">
      <alignment horizontal="center" vertical="center" wrapText="1"/>
    </xf>
    <xf numFmtId="0" fontId="37" fillId="16" borderId="46" xfId="0" applyFont="1" applyFill="1" applyBorder="1" applyAlignment="1">
      <alignment horizontal="center" vertical="center" wrapText="1"/>
    </xf>
    <xf numFmtId="0" fontId="37" fillId="16" borderId="47" xfId="0" applyFont="1" applyFill="1" applyBorder="1" applyAlignment="1">
      <alignment horizontal="center"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48" fillId="0" borderId="8" xfId="0" applyFont="1" applyBorder="1" applyAlignment="1">
      <alignment horizontal="left" vertical="center"/>
    </xf>
    <xf numFmtId="0" fontId="0" fillId="0" borderId="8"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xf>
    <xf numFmtId="0" fontId="97" fillId="0" borderId="8" xfId="0" applyFont="1" applyBorder="1" applyAlignment="1">
      <alignment horizontal="left" vertical="center"/>
    </xf>
    <xf numFmtId="0" fontId="97" fillId="0" borderId="0" xfId="0" applyFont="1" applyBorder="1" applyAlignment="1">
      <alignment horizontal="left" vertical="center"/>
    </xf>
    <xf numFmtId="0" fontId="97" fillId="0" borderId="9" xfId="0" applyFont="1" applyBorder="1" applyAlignment="1">
      <alignment horizontal="left" vertical="center"/>
    </xf>
    <xf numFmtId="0" fontId="96" fillId="0" borderId="8" xfId="0" applyFont="1" applyBorder="1" applyAlignment="1">
      <alignment horizontal="left" vertical="center"/>
    </xf>
    <xf numFmtId="0" fontId="96" fillId="0" borderId="0" xfId="0" applyFont="1" applyBorder="1" applyAlignment="1">
      <alignment horizontal="left" vertical="center"/>
    </xf>
    <xf numFmtId="0" fontId="96" fillId="0" borderId="9" xfId="0" applyFont="1" applyBorder="1" applyAlignment="1">
      <alignment horizontal="left" vertical="center"/>
    </xf>
    <xf numFmtId="0" fontId="23" fillId="11" borderId="14" xfId="0" applyFont="1" applyFill="1" applyBorder="1" applyAlignment="1">
      <alignment horizontal="center" vertical="center"/>
    </xf>
    <xf numFmtId="0" fontId="23" fillId="11" borderId="16" xfId="0" applyFont="1" applyFill="1" applyBorder="1" applyAlignment="1">
      <alignment horizontal="center"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25" fillId="0" borderId="8" xfId="0" applyFont="1" applyBorder="1" applyAlignment="1">
      <alignment horizontal="left" vertical="center"/>
    </xf>
    <xf numFmtId="0" fontId="14" fillId="0" borderId="0" xfId="0" applyFont="1" applyBorder="1" applyAlignment="1">
      <alignment horizontal="left" vertical="center"/>
    </xf>
    <xf numFmtId="0" fontId="14" fillId="0" borderId="9" xfId="0" applyFont="1" applyBorder="1" applyAlignment="1">
      <alignment horizontal="left" vertical="center"/>
    </xf>
    <xf numFmtId="0" fontId="107" fillId="0" borderId="8" xfId="0" applyFont="1" applyBorder="1" applyAlignment="1">
      <alignment horizontal="center" vertical="center"/>
    </xf>
    <xf numFmtId="0" fontId="107" fillId="0" borderId="0" xfId="0" applyFont="1" applyBorder="1" applyAlignment="1">
      <alignment horizontal="center" vertical="center"/>
    </xf>
    <xf numFmtId="0" fontId="107" fillId="0" borderId="9" xfId="0" applyFont="1" applyBorder="1" applyAlignment="1">
      <alignment horizontal="center" vertical="center"/>
    </xf>
    <xf numFmtId="0" fontId="31" fillId="0" borderId="8" xfId="0" applyFont="1" applyBorder="1" applyAlignment="1">
      <alignment horizontal="left" vertical="center"/>
    </xf>
    <xf numFmtId="0" fontId="31" fillId="0" borderId="0" xfId="0" applyFont="1" applyBorder="1" applyAlignment="1">
      <alignment horizontal="left" vertical="center"/>
    </xf>
    <xf numFmtId="0" fontId="31" fillId="0" borderId="9" xfId="0" applyFont="1"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xf>
    <xf numFmtId="0" fontId="62" fillId="0" borderId="8" xfId="0" applyFont="1" applyBorder="1" applyAlignment="1">
      <alignment horizontal="center" vertical="center"/>
    </xf>
    <xf numFmtId="0" fontId="62" fillId="0" borderId="0" xfId="0" applyFont="1" applyBorder="1" applyAlignment="1">
      <alignment horizontal="center" vertical="center"/>
    </xf>
    <xf numFmtId="0" fontId="62" fillId="0" borderId="9" xfId="0" applyFont="1" applyBorder="1" applyAlignment="1">
      <alignment horizontal="center"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21" fillId="0" borderId="8" xfId="0" applyFont="1" applyBorder="1" applyAlignment="1">
      <alignment horizontal="lef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18" fillId="0" borderId="8" xfId="0" applyFont="1" applyBorder="1" applyAlignment="1">
      <alignment horizontal="left" vertical="center"/>
    </xf>
    <xf numFmtId="0" fontId="18" fillId="0" borderId="0" xfId="0" applyFont="1" applyBorder="1" applyAlignment="1">
      <alignment horizontal="left" vertical="center"/>
    </xf>
    <xf numFmtId="0" fontId="18" fillId="0" borderId="9" xfId="0" applyFont="1" applyBorder="1" applyAlignment="1">
      <alignment horizontal="left" vertical="center"/>
    </xf>
    <xf numFmtId="0" fontId="106" fillId="0" borderId="8" xfId="0" applyFont="1" applyBorder="1" applyAlignment="1">
      <alignment horizontal="center" vertical="center"/>
    </xf>
    <xf numFmtId="0" fontId="106" fillId="0" borderId="0" xfId="0" applyFont="1" applyBorder="1" applyAlignment="1">
      <alignment horizontal="center" vertical="center"/>
    </xf>
    <xf numFmtId="0" fontId="106" fillId="0" borderId="9" xfId="0" applyFont="1" applyBorder="1" applyAlignment="1">
      <alignment horizontal="center" vertical="center"/>
    </xf>
    <xf numFmtId="0" fontId="31" fillId="0" borderId="8" xfId="0" applyFont="1" applyBorder="1">
      <alignment vertical="center"/>
    </xf>
    <xf numFmtId="0" fontId="31" fillId="0" borderId="0" xfId="0" applyFont="1" applyBorder="1">
      <alignment vertical="center"/>
    </xf>
    <xf numFmtId="0" fontId="31" fillId="0" borderId="9" xfId="0" applyFont="1" applyBorder="1">
      <alignment vertical="center"/>
    </xf>
    <xf numFmtId="0" fontId="19" fillId="0" borderId="8" xfId="0" applyFont="1" applyBorder="1" applyAlignment="1">
      <alignment horizontal="left" vertical="center" wrapText="1"/>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29" fillId="0" borderId="8" xfId="0" applyFont="1" applyBorder="1" applyAlignment="1">
      <alignment horizontal="left" vertical="center"/>
    </xf>
    <xf numFmtId="0" fontId="29" fillId="0" borderId="0" xfId="0" applyFont="1" applyBorder="1" applyAlignment="1">
      <alignment horizontal="left" vertical="center"/>
    </xf>
    <xf numFmtId="0" fontId="29" fillId="0" borderId="9" xfId="0" applyFont="1" applyBorder="1" applyAlignment="1">
      <alignment horizontal="left" vertical="center"/>
    </xf>
    <xf numFmtId="0" fontId="13" fillId="0" borderId="8" xfId="0" applyFont="1" applyBorder="1" applyAlignment="1">
      <alignment horizontal="left" vertical="center" wrapText="1"/>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2" fillId="0" borderId="8" xfId="0" applyFont="1" applyBorder="1" applyAlignment="1">
      <alignment horizontal="left" vertical="center" wrapText="1"/>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87" fillId="0" borderId="8" xfId="0" applyFont="1" applyBorder="1" applyAlignment="1">
      <alignment horizontal="left" vertical="center"/>
    </xf>
    <xf numFmtId="0" fontId="88" fillId="0" borderId="0" xfId="0" applyFont="1" applyBorder="1" applyAlignment="1">
      <alignment horizontal="left" vertical="center"/>
    </xf>
    <xf numFmtId="0" fontId="88" fillId="0" borderId="9" xfId="0" applyFont="1" applyBorder="1" applyAlignment="1">
      <alignment horizontal="left" vertical="center"/>
    </xf>
    <xf numFmtId="0" fontId="28" fillId="0" borderId="8" xfId="0" applyFont="1" applyBorder="1" applyAlignment="1">
      <alignment horizontal="left" vertical="center"/>
    </xf>
    <xf numFmtId="0" fontId="28" fillId="0" borderId="0" xfId="0" applyFont="1" applyBorder="1" applyAlignment="1">
      <alignment horizontal="left" vertical="center"/>
    </xf>
    <xf numFmtId="0" fontId="28" fillId="0" borderId="9" xfId="0" applyFont="1" applyBorder="1" applyAlignment="1">
      <alignment horizontal="left" vertical="center"/>
    </xf>
    <xf numFmtId="0" fontId="85" fillId="0" borderId="8" xfId="0" applyFont="1" applyBorder="1" applyAlignment="1">
      <alignment horizontal="left" vertical="center"/>
    </xf>
    <xf numFmtId="0" fontId="85" fillId="0" borderId="0" xfId="0" applyFont="1" applyBorder="1" applyAlignment="1">
      <alignment horizontal="left" vertical="center"/>
    </xf>
    <xf numFmtId="0" fontId="85" fillId="0" borderId="9" xfId="0" applyFont="1" applyBorder="1" applyAlignment="1">
      <alignment horizontal="left" vertical="center"/>
    </xf>
    <xf numFmtId="0" fontId="0" fillId="0" borderId="8" xfId="0" applyBorder="1" applyAlignment="1"/>
    <xf numFmtId="0" fontId="0" fillId="0" borderId="0" xfId="0" applyBorder="1" applyAlignment="1"/>
    <xf numFmtId="0" fontId="0" fillId="0" borderId="9" xfId="0" applyBorder="1" applyAlignment="1"/>
    <xf numFmtId="0" fontId="30" fillId="0" borderId="8"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9" xfId="0" applyFont="1" applyBorder="1" applyAlignment="1">
      <alignment horizontal="center" vertical="center" shrinkToFit="1"/>
    </xf>
    <xf numFmtId="0" fontId="84" fillId="0" borderId="8" xfId="0" applyFont="1" applyBorder="1" applyAlignment="1">
      <alignment horizontal="right" vertical="center"/>
    </xf>
    <xf numFmtId="0" fontId="84" fillId="0" borderId="0" xfId="0" applyFont="1" applyBorder="1" applyAlignment="1">
      <alignment horizontal="right" vertical="center"/>
    </xf>
    <xf numFmtId="0" fontId="84" fillId="0" borderId="9" xfId="0" applyFont="1" applyBorder="1" applyAlignment="1">
      <alignment horizontal="right" vertical="center"/>
    </xf>
    <xf numFmtId="0" fontId="75" fillId="0" borderId="8" xfId="0" applyFont="1" applyBorder="1" applyAlignment="1">
      <alignment horizontal="center" vertical="center"/>
    </xf>
    <xf numFmtId="0" fontId="75" fillId="0" borderId="0" xfId="0" applyFont="1" applyBorder="1" applyAlignment="1">
      <alignment horizontal="center" vertical="center"/>
    </xf>
    <xf numFmtId="0" fontId="75" fillId="0" borderId="9" xfId="0" applyFont="1" applyBorder="1" applyAlignment="1">
      <alignment horizontal="center"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20" fillId="0" borderId="8" xfId="0" applyFont="1" applyBorder="1" applyAlignment="1">
      <alignment horizontal="left" vertical="center" wrapText="1"/>
    </xf>
    <xf numFmtId="0" fontId="20" fillId="0" borderId="0" xfId="0" applyFont="1" applyBorder="1" applyAlignment="1">
      <alignment horizontal="left" vertical="center"/>
    </xf>
    <xf numFmtId="0" fontId="20" fillId="0" borderId="9" xfId="0" applyFont="1" applyBorder="1" applyAlignment="1">
      <alignment horizontal="left" vertical="center"/>
    </xf>
    <xf numFmtId="0" fontId="83" fillId="0" borderId="8" xfId="0" applyFont="1" applyBorder="1" applyAlignment="1">
      <alignment horizontal="right" vertical="center"/>
    </xf>
    <xf numFmtId="0" fontId="83" fillId="0" borderId="0" xfId="0" applyFont="1" applyBorder="1" applyAlignment="1">
      <alignment horizontal="right" vertical="center"/>
    </xf>
    <xf numFmtId="0" fontId="83" fillId="0" borderId="9" xfId="0" applyFont="1" applyBorder="1" applyAlignment="1">
      <alignment horizontal="right" vertical="center"/>
    </xf>
    <xf numFmtId="0" fontId="63" fillId="0" borderId="8" xfId="0" applyFont="1" applyBorder="1" applyAlignment="1">
      <alignment horizontal="center" vertical="center" wrapText="1"/>
    </xf>
    <xf numFmtId="0" fontId="63" fillId="0" borderId="0" xfId="0" applyFont="1" applyBorder="1" applyAlignment="1">
      <alignment horizontal="center" vertical="center"/>
    </xf>
    <xf numFmtId="0" fontId="63" fillId="0" borderId="9" xfId="0" applyFont="1" applyBorder="1" applyAlignment="1">
      <alignment horizontal="center" vertical="center"/>
    </xf>
    <xf numFmtId="0" fontId="10" fillId="0" borderId="8" xfId="0" applyFont="1" applyBorder="1" applyAlignment="1">
      <alignment horizontal="left" vertical="center"/>
    </xf>
    <xf numFmtId="0" fontId="65" fillId="0" borderId="8" xfId="0" applyFont="1" applyBorder="1" applyAlignment="1">
      <alignment horizontal="left" vertical="center"/>
    </xf>
    <xf numFmtId="0" fontId="65" fillId="0" borderId="0" xfId="0" applyFont="1" applyBorder="1" applyAlignment="1">
      <alignment horizontal="left" vertical="center"/>
    </xf>
    <xf numFmtId="0" fontId="65" fillId="0" borderId="9" xfId="0" applyFont="1" applyBorder="1" applyAlignment="1">
      <alignment horizontal="left" vertical="center"/>
    </xf>
    <xf numFmtId="0" fontId="27" fillId="0" borderId="8" xfId="0" applyFont="1" applyBorder="1" applyAlignment="1">
      <alignment horizontal="left" vertical="center"/>
    </xf>
    <xf numFmtId="0" fontId="27" fillId="0" borderId="0" xfId="0" applyFont="1" applyBorder="1" applyAlignment="1">
      <alignment horizontal="left" vertical="center"/>
    </xf>
    <xf numFmtId="0" fontId="27" fillId="0" borderId="9" xfId="0" applyFont="1" applyBorder="1" applyAlignment="1">
      <alignment horizontal="left" vertical="center"/>
    </xf>
    <xf numFmtId="0" fontId="48" fillId="0" borderId="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4" fillId="0" borderId="5" xfId="0" applyFont="1" applyBorder="1" applyAlignment="1">
      <alignment horizontal="left" vertical="center"/>
    </xf>
    <xf numFmtId="0" fontId="23" fillId="14" borderId="14" xfId="0" applyFont="1" applyFill="1" applyBorder="1" applyAlignment="1">
      <alignment horizontal="center" vertical="center"/>
    </xf>
    <xf numFmtId="0" fontId="23" fillId="14"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A61D02"/>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lt%20-%20ol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一覧"/>
      <sheetName val="近接基礎"/>
      <sheetName val="遠隔基礎"/>
      <sheetName val="無01_1"/>
      <sheetName val="無01_2"/>
      <sheetName val="遭03"/>
      <sheetName val="遭07"/>
      <sheetName val="遭11"/>
      <sheetName val="遭13"/>
      <sheetName val="日05"/>
      <sheetName val="日09"/>
      <sheetName val="日15"/>
      <sheetName val="クラス日_1"/>
      <sheetName val="汎02"/>
      <sheetName val="汎06"/>
      <sheetName val="汎10"/>
      <sheetName val="汎12"/>
      <sheetName val="種族遭"/>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13.5"/>
  <cols>
    <col min="1" max="1" width="8" customWidth="1"/>
    <col min="3" max="3" width="9.75" customWidth="1"/>
    <col min="5" max="5" width="6.5" customWidth="1"/>
    <col min="15" max="15" width="7.375" customWidth="1"/>
  </cols>
  <sheetData>
    <row r="1" spans="1:15">
      <c r="A1" s="9" t="s">
        <v>29</v>
      </c>
      <c r="B1" s="299" t="s">
        <v>118</v>
      </c>
      <c r="C1" s="299"/>
      <c r="D1" s="299"/>
      <c r="M1" s="32" t="s">
        <v>64</v>
      </c>
      <c r="N1" s="33">
        <v>1</v>
      </c>
    </row>
    <row r="2" spans="1:15">
      <c r="A2" s="9" t="s">
        <v>30</v>
      </c>
      <c r="B2" s="299" t="s">
        <v>119</v>
      </c>
      <c r="C2" s="299"/>
      <c r="D2" s="299"/>
      <c r="N2" t="s">
        <v>92</v>
      </c>
    </row>
    <row r="3" spans="1:15" ht="14.25" thickBot="1">
      <c r="A3" s="10" t="s">
        <v>31</v>
      </c>
      <c r="B3" s="123">
        <v>14</v>
      </c>
    </row>
    <row r="4" spans="1:15" ht="14.25" thickBot="1">
      <c r="A4" s="7"/>
      <c r="B4" s="6" t="s">
        <v>9</v>
      </c>
      <c r="C4" s="6" t="s">
        <v>10</v>
      </c>
      <c r="D4" s="6"/>
      <c r="F4" s="289" t="s">
        <v>37</v>
      </c>
      <c r="G4" s="290"/>
    </row>
    <row r="5" spans="1:15">
      <c r="A5" s="9" t="s">
        <v>11</v>
      </c>
      <c r="B5" s="5">
        <v>11</v>
      </c>
      <c r="C5" s="25">
        <f>INT(($B$5-10)/2)</f>
        <v>0</v>
      </c>
      <c r="D5" s="4">
        <f t="shared" ref="D5:D10" si="0">INT($B$3/2)+$C5</f>
        <v>7</v>
      </c>
      <c r="F5" s="291" t="s">
        <v>120</v>
      </c>
      <c r="G5" s="291"/>
      <c r="H5" s="292"/>
      <c r="I5" s="292"/>
      <c r="J5" s="292"/>
      <c r="K5" s="292"/>
      <c r="L5" s="292"/>
      <c r="M5" s="292"/>
      <c r="N5" s="292"/>
    </row>
    <row r="6" spans="1:15">
      <c r="A6" s="9" t="s">
        <v>12</v>
      </c>
      <c r="B6" s="5">
        <v>14</v>
      </c>
      <c r="C6" s="25">
        <f>INT(($B$6-10)/2)</f>
        <v>2</v>
      </c>
      <c r="D6" s="49">
        <f t="shared" si="0"/>
        <v>9</v>
      </c>
      <c r="F6" s="130" t="s">
        <v>21</v>
      </c>
      <c r="G6" s="6" t="s">
        <v>22</v>
      </c>
      <c r="H6" s="6" t="s">
        <v>23</v>
      </c>
      <c r="I6" s="6" t="s">
        <v>24</v>
      </c>
      <c r="J6" s="6" t="s">
        <v>25</v>
      </c>
      <c r="K6" s="6" t="s">
        <v>26</v>
      </c>
      <c r="L6" s="6" t="s">
        <v>85</v>
      </c>
      <c r="M6" s="6" t="s">
        <v>27</v>
      </c>
      <c r="N6" s="6" t="s">
        <v>28</v>
      </c>
      <c r="O6" s="35" t="s">
        <v>33</v>
      </c>
    </row>
    <row r="7" spans="1:15">
      <c r="A7" s="9" t="s">
        <v>13</v>
      </c>
      <c r="B7" s="5">
        <v>23</v>
      </c>
      <c r="C7" s="25">
        <f>INT(($B$7-10)/2)</f>
        <v>6</v>
      </c>
      <c r="D7" s="49">
        <f t="shared" si="0"/>
        <v>13</v>
      </c>
      <c r="F7" s="2" t="s">
        <v>107</v>
      </c>
      <c r="G7" s="2">
        <f>SUM(I7:N7)</f>
        <v>23</v>
      </c>
      <c r="H7" s="36" t="s">
        <v>13</v>
      </c>
      <c r="I7" s="38">
        <f>IF($H7 = "筋力",基本!$C$5,IF($H7 = "耐久力",基本!$C$6,IF($H7 = "敏捷力",基本!$C$7,IF($H7 = "知力",基本!$C$8,IF($H7 = "判断力",基本!$C$9,IF($H7 = "魅力",基本!$C$10,""))))))</f>
        <v>6</v>
      </c>
      <c r="J7" s="49">
        <f>INT($B$3/2)</f>
        <v>7</v>
      </c>
      <c r="K7" s="5">
        <v>3</v>
      </c>
      <c r="L7" s="5">
        <v>2</v>
      </c>
      <c r="M7" s="5">
        <v>4</v>
      </c>
      <c r="N7" s="5">
        <v>1</v>
      </c>
      <c r="O7" s="34">
        <f>SUM(J7:N7)</f>
        <v>17</v>
      </c>
    </row>
    <row r="8" spans="1:15">
      <c r="A8" s="9" t="s">
        <v>14</v>
      </c>
      <c r="B8" s="5">
        <v>9</v>
      </c>
      <c r="C8" s="25">
        <f>INT(($B$8-10)/2)</f>
        <v>-1</v>
      </c>
      <c r="D8" s="49">
        <f t="shared" si="0"/>
        <v>6</v>
      </c>
      <c r="F8" s="293" t="s">
        <v>32</v>
      </c>
      <c r="G8" s="293"/>
      <c r="H8" s="293" t="s">
        <v>33</v>
      </c>
      <c r="I8" s="293"/>
      <c r="J8" s="6" t="s">
        <v>23</v>
      </c>
      <c r="K8" s="6" t="s">
        <v>24</v>
      </c>
      <c r="L8" s="37" t="s">
        <v>85</v>
      </c>
      <c r="M8" s="6" t="s">
        <v>27</v>
      </c>
      <c r="N8" s="6" t="s">
        <v>28</v>
      </c>
      <c r="O8" s="35" t="s">
        <v>33</v>
      </c>
    </row>
    <row r="9" spans="1:15">
      <c r="A9" s="9" t="s">
        <v>15</v>
      </c>
      <c r="B9" s="5">
        <v>11</v>
      </c>
      <c r="C9" s="25">
        <f>INT(($B$9-10)/2)</f>
        <v>0</v>
      </c>
      <c r="D9" s="49">
        <f t="shared" si="0"/>
        <v>7</v>
      </c>
      <c r="F9" s="292" t="s">
        <v>105</v>
      </c>
      <c r="G9" s="292"/>
      <c r="H9" s="292">
        <f>SUM(K9:N9)</f>
        <v>6</v>
      </c>
      <c r="I9" s="292"/>
      <c r="J9" s="121" t="s">
        <v>11</v>
      </c>
      <c r="K9" s="38">
        <f>IF($J9 = "筋力",基本!$C$5,IF($J9 = "耐久力",基本!$C$6,IF($J9 = "敏捷力",基本!$C$7,IF($J9 = "知力",基本!$C$8,IF($J9 = "判断力",基本!$C$9,IF($J9 = "魅力",基本!$C$10,""))))))</f>
        <v>0</v>
      </c>
      <c r="L9" s="5">
        <v>0</v>
      </c>
      <c r="M9" s="5">
        <v>4</v>
      </c>
      <c r="N9" s="5">
        <v>2</v>
      </c>
      <c r="O9" s="34">
        <f>SUM(L9:N9)</f>
        <v>6</v>
      </c>
    </row>
    <row r="10" spans="1:15">
      <c r="A10" s="9" t="s">
        <v>16</v>
      </c>
      <c r="B10" s="5">
        <v>21</v>
      </c>
      <c r="C10" s="25">
        <f>INT(($B$10-10)/2)</f>
        <v>5</v>
      </c>
      <c r="D10" s="49">
        <f t="shared" si="0"/>
        <v>12</v>
      </c>
      <c r="F10" s="293" t="s">
        <v>34</v>
      </c>
      <c r="G10" s="293"/>
      <c r="H10" s="293" t="s">
        <v>35</v>
      </c>
      <c r="I10" s="293"/>
      <c r="J10" s="293"/>
      <c r="K10" s="293"/>
      <c r="L10" s="293" t="s">
        <v>36</v>
      </c>
      <c r="M10" s="293"/>
      <c r="N10" s="293"/>
    </row>
    <row r="11" spans="1:15">
      <c r="F11" s="292" t="s">
        <v>224</v>
      </c>
      <c r="G11" s="292"/>
      <c r="H11" s="292"/>
      <c r="I11" s="292"/>
      <c r="J11" s="292"/>
      <c r="K11" s="292"/>
      <c r="L11" s="5">
        <v>4</v>
      </c>
      <c r="M11" s="4" t="s">
        <v>65</v>
      </c>
      <c r="N11" s="5">
        <v>12</v>
      </c>
    </row>
    <row r="12" spans="1:15" ht="14.25" thickBot="1">
      <c r="A12" s="98" t="s">
        <v>102</v>
      </c>
      <c r="B12" s="96">
        <v>6</v>
      </c>
      <c r="C12" s="97" t="s">
        <v>103</v>
      </c>
      <c r="D12" s="97" t="s">
        <v>104</v>
      </c>
      <c r="F12" s="1"/>
      <c r="G12" s="1"/>
      <c r="H12" s="1"/>
      <c r="I12" s="1"/>
      <c r="J12" s="1"/>
      <c r="K12" s="1"/>
      <c r="L12" s="1"/>
      <c r="M12" s="1"/>
      <c r="N12" s="1"/>
    </row>
    <row r="13" spans="1:15" ht="14.25" thickBot="1">
      <c r="A13" s="9" t="s">
        <v>90</v>
      </c>
      <c r="B13" s="46">
        <v>91</v>
      </c>
      <c r="C13" s="107">
        <f>INT($B$13/2)</f>
        <v>45</v>
      </c>
      <c r="D13" s="107">
        <f>INT($B$13/4)</f>
        <v>22</v>
      </c>
      <c r="F13" s="289" t="s">
        <v>106</v>
      </c>
      <c r="G13" s="290"/>
      <c r="H13" s="1"/>
      <c r="I13" s="1"/>
      <c r="J13" s="1"/>
      <c r="K13" s="1"/>
      <c r="L13" s="1"/>
      <c r="M13" s="1"/>
      <c r="N13" s="1"/>
    </row>
    <row r="14" spans="1:15">
      <c r="A14" s="9" t="s">
        <v>17</v>
      </c>
      <c r="B14" s="46">
        <v>30</v>
      </c>
      <c r="F14" s="291" t="s">
        <v>120</v>
      </c>
      <c r="G14" s="291"/>
      <c r="H14" s="292"/>
      <c r="I14" s="292"/>
      <c r="J14" s="292"/>
      <c r="K14" s="292"/>
      <c r="L14" s="292"/>
      <c r="M14" s="292"/>
      <c r="N14" s="292"/>
    </row>
    <row r="15" spans="1:15">
      <c r="A15" s="9" t="s">
        <v>18</v>
      </c>
      <c r="B15" s="46">
        <v>21</v>
      </c>
      <c r="F15" s="6" t="s">
        <v>21</v>
      </c>
      <c r="G15" s="6" t="s">
        <v>22</v>
      </c>
      <c r="H15" s="6" t="s">
        <v>23</v>
      </c>
      <c r="I15" s="6" t="s">
        <v>24</v>
      </c>
      <c r="J15" s="6" t="s">
        <v>25</v>
      </c>
      <c r="K15" s="6" t="s">
        <v>26</v>
      </c>
      <c r="L15" s="37" t="s">
        <v>85</v>
      </c>
      <c r="M15" s="6" t="s">
        <v>27</v>
      </c>
      <c r="N15" s="6" t="s">
        <v>28</v>
      </c>
      <c r="O15" s="35" t="s">
        <v>33</v>
      </c>
    </row>
    <row r="16" spans="1:15">
      <c r="A16" s="9" t="s">
        <v>19</v>
      </c>
      <c r="B16" s="46">
        <v>29</v>
      </c>
      <c r="F16" s="129" t="s">
        <v>107</v>
      </c>
      <c r="G16" s="2">
        <f>SUM(I16:N16)</f>
        <v>24</v>
      </c>
      <c r="H16" s="36" t="s">
        <v>13</v>
      </c>
      <c r="I16" s="38">
        <f>IF($H16 = "筋力",基本!$C$5,IF($H16 = "耐久力",基本!$C$6,IF($H16 = "敏捷力",基本!$C$7,IF($H16 = "知力",基本!$C$8,IF($H16 = "判断力",基本!$C$9,IF($H16 = "魅力",基本!$C$10,""))))))</f>
        <v>6</v>
      </c>
      <c r="J16" s="2">
        <f>INT($B$3/2)</f>
        <v>7</v>
      </c>
      <c r="K16" s="5">
        <v>3</v>
      </c>
      <c r="L16" s="5">
        <v>2</v>
      </c>
      <c r="M16" s="5">
        <v>4</v>
      </c>
      <c r="N16" s="5">
        <v>2</v>
      </c>
      <c r="O16" s="34">
        <f>SUM(J16:N16)</f>
        <v>18</v>
      </c>
    </row>
    <row r="17" spans="1:15">
      <c r="A17" s="9" t="s">
        <v>20</v>
      </c>
      <c r="B17" s="46">
        <v>27</v>
      </c>
      <c r="F17" s="293" t="s">
        <v>32</v>
      </c>
      <c r="G17" s="293"/>
      <c r="H17" s="293" t="s">
        <v>33</v>
      </c>
      <c r="I17" s="293"/>
      <c r="J17" s="6" t="s">
        <v>23</v>
      </c>
      <c r="K17" s="6" t="s">
        <v>24</v>
      </c>
      <c r="L17" s="37" t="s">
        <v>85</v>
      </c>
      <c r="M17" s="6" t="s">
        <v>27</v>
      </c>
      <c r="N17" s="6" t="s">
        <v>28</v>
      </c>
      <c r="O17" s="35" t="s">
        <v>33</v>
      </c>
    </row>
    <row r="18" spans="1:15">
      <c r="A18" s="98" t="s">
        <v>224</v>
      </c>
      <c r="F18" s="292" t="s">
        <v>105</v>
      </c>
      <c r="G18" s="292"/>
      <c r="H18" s="292">
        <f>SUM(K18:N18)</f>
        <v>12</v>
      </c>
      <c r="I18" s="292"/>
      <c r="J18" s="36" t="s">
        <v>13</v>
      </c>
      <c r="K18" s="38">
        <f>IF($J18 = "筋力",基本!$C$5,IF($J18 = "耐久力",基本!$C$6,IF($J18 = "敏捷力",基本!$C$7,IF($J18 = "知力",基本!$C$8,IF($J18 = "判断力",基本!$C$9,IF($J18 = "魅力",基本!$C$10,""))))))</f>
        <v>6</v>
      </c>
      <c r="L18" s="5">
        <v>0</v>
      </c>
      <c r="M18" s="5">
        <v>4</v>
      </c>
      <c r="N18" s="5">
        <v>2</v>
      </c>
      <c r="O18" s="34">
        <f>SUM(L18:N18)</f>
        <v>6</v>
      </c>
    </row>
    <row r="19" spans="1:15">
      <c r="F19" s="293" t="s">
        <v>34</v>
      </c>
      <c r="G19" s="293"/>
      <c r="H19" s="293" t="s">
        <v>35</v>
      </c>
      <c r="I19" s="293"/>
      <c r="J19" s="293"/>
      <c r="K19" s="293"/>
      <c r="L19" s="293" t="s">
        <v>36</v>
      </c>
      <c r="M19" s="293"/>
      <c r="N19" s="293"/>
    </row>
    <row r="20" spans="1:15">
      <c r="B20" s="293" t="s">
        <v>130</v>
      </c>
      <c r="C20" s="293"/>
      <c r="D20" s="293"/>
      <c r="F20" s="292" t="s">
        <v>224</v>
      </c>
      <c r="G20" s="292"/>
      <c r="H20" s="300" t="s">
        <v>121</v>
      </c>
      <c r="I20" s="292"/>
      <c r="J20" s="292"/>
      <c r="K20" s="292"/>
      <c r="L20" s="5">
        <v>4</v>
      </c>
      <c r="M20" s="4" t="s">
        <v>44</v>
      </c>
      <c r="N20" s="5">
        <v>12</v>
      </c>
    </row>
    <row r="21" spans="1:15" ht="14.25" thickBot="1">
      <c r="B21" s="5">
        <v>3</v>
      </c>
      <c r="C21" s="4" t="s">
        <v>43</v>
      </c>
      <c r="D21" s="8">
        <v>8</v>
      </c>
      <c r="F21" s="1"/>
      <c r="G21" s="1"/>
      <c r="H21" s="1"/>
      <c r="I21" s="1"/>
      <c r="J21" s="1"/>
      <c r="K21" s="1"/>
      <c r="L21" s="1"/>
      <c r="M21" s="1"/>
      <c r="N21" s="1"/>
    </row>
    <row r="22" spans="1:15" ht="14.25" thickBot="1">
      <c r="B22" s="293" t="s">
        <v>168</v>
      </c>
      <c r="C22" s="293"/>
      <c r="D22" s="293"/>
      <c r="F22" s="289" t="s">
        <v>125</v>
      </c>
      <c r="G22" s="290"/>
      <c r="H22" s="1"/>
      <c r="I22" s="1"/>
      <c r="J22" s="1"/>
      <c r="K22" s="1"/>
      <c r="L22" s="1"/>
      <c r="M22" s="1"/>
      <c r="N22" s="1"/>
    </row>
    <row r="23" spans="1:15">
      <c r="B23" s="131">
        <v>1</v>
      </c>
      <c r="C23" s="129" t="s">
        <v>43</v>
      </c>
      <c r="D23" s="8">
        <v>10</v>
      </c>
      <c r="F23" s="291" t="s">
        <v>125</v>
      </c>
      <c r="G23" s="291"/>
      <c r="H23" s="292"/>
      <c r="I23" s="292"/>
      <c r="J23" s="292"/>
      <c r="K23" s="292"/>
      <c r="L23" s="292"/>
      <c r="M23" s="292"/>
      <c r="N23" s="292"/>
    </row>
    <row r="24" spans="1:15">
      <c r="F24" s="6" t="s">
        <v>21</v>
      </c>
      <c r="G24" s="6" t="s">
        <v>22</v>
      </c>
      <c r="H24" s="6" t="s">
        <v>23</v>
      </c>
      <c r="I24" s="6" t="s">
        <v>24</v>
      </c>
      <c r="J24" s="6" t="s">
        <v>25</v>
      </c>
      <c r="K24" s="6" t="s">
        <v>26</v>
      </c>
      <c r="L24" s="37" t="s">
        <v>85</v>
      </c>
      <c r="M24" s="6" t="s">
        <v>27</v>
      </c>
      <c r="N24" s="6" t="s">
        <v>28</v>
      </c>
      <c r="O24" s="35" t="s">
        <v>33</v>
      </c>
    </row>
    <row r="25" spans="1:15">
      <c r="A25" s="41" t="s">
        <v>70</v>
      </c>
      <c r="B25" s="41" t="s">
        <v>68</v>
      </c>
      <c r="C25" s="41" t="s">
        <v>75</v>
      </c>
      <c r="D25" s="41" t="str">
        <f>IF($F$4="","",$F$4)</f>
        <v>近接基礎</v>
      </c>
      <c r="F25" s="129" t="s">
        <v>107</v>
      </c>
      <c r="G25" s="2">
        <f>SUM(I25:N25)</f>
        <v>23</v>
      </c>
      <c r="H25" s="36" t="s">
        <v>13</v>
      </c>
      <c r="I25" s="38">
        <f>IF($H25 = "筋力",基本!$C$5,IF($H25 = "耐久力",基本!$C$6,IF($H25 = "敏捷力",基本!$C$7,IF($H25 = "知力",基本!$C$8,IF($H25 = "判断力",基本!$C$9,IF($H25 = "魅力",基本!$C$10,""))))))</f>
        <v>6</v>
      </c>
      <c r="J25" s="2">
        <f>INT($B$3/2)</f>
        <v>7</v>
      </c>
      <c r="K25" s="5">
        <v>3</v>
      </c>
      <c r="L25" s="5">
        <v>2</v>
      </c>
      <c r="M25" s="5">
        <v>4</v>
      </c>
      <c r="N25" s="5">
        <v>1</v>
      </c>
      <c r="O25" s="34">
        <f>SUM(J25:N25)</f>
        <v>17</v>
      </c>
    </row>
    <row r="26" spans="1:15">
      <c r="A26" s="41" t="s">
        <v>71</v>
      </c>
      <c r="B26" s="41" t="s">
        <v>73</v>
      </c>
      <c r="C26" s="41" t="s">
        <v>76</v>
      </c>
      <c r="D26" s="41" t="str">
        <f>IF($F$13="","",$F$13)</f>
        <v>遠隔基礎</v>
      </c>
      <c r="F26" s="293" t="s">
        <v>32</v>
      </c>
      <c r="G26" s="293"/>
      <c r="H26" s="293" t="s">
        <v>33</v>
      </c>
      <c r="I26" s="293"/>
      <c r="J26" s="6" t="s">
        <v>23</v>
      </c>
      <c r="K26" s="6" t="s">
        <v>24</v>
      </c>
      <c r="L26" s="37" t="s">
        <v>85</v>
      </c>
      <c r="M26" s="6" t="s">
        <v>27</v>
      </c>
      <c r="N26" s="6" t="s">
        <v>28</v>
      </c>
      <c r="O26" s="35" t="s">
        <v>33</v>
      </c>
    </row>
    <row r="27" spans="1:15">
      <c r="A27" s="41" t="s">
        <v>72</v>
      </c>
      <c r="B27" s="41" t="s">
        <v>74</v>
      </c>
      <c r="C27" s="41" t="s">
        <v>77</v>
      </c>
      <c r="D27" s="41" t="str">
        <f>IF($F$22="","",$F$22)</f>
        <v>パワー(敏)</v>
      </c>
      <c r="F27" s="292" t="s">
        <v>105</v>
      </c>
      <c r="G27" s="292"/>
      <c r="H27" s="292">
        <f>SUM(K27:N27)</f>
        <v>12</v>
      </c>
      <c r="I27" s="292"/>
      <c r="J27" s="36" t="s">
        <v>13</v>
      </c>
      <c r="K27" s="38">
        <f>IF($J27 = "筋力",基本!$C$5,IF($J27 = "耐久力",基本!$C$6,IF($J27 = "敏捷力",基本!$C$7,IF($J27 = "知力",基本!$C$8,IF($J27 = "判断力",基本!$C$9,IF($J27 = "魅力",基本!$C$10,""))))))</f>
        <v>6</v>
      </c>
      <c r="L27" s="121">
        <v>0</v>
      </c>
      <c r="M27" s="121">
        <v>4</v>
      </c>
      <c r="N27" s="121">
        <v>2</v>
      </c>
      <c r="O27" s="34">
        <f>SUM(L27:N27)</f>
        <v>6</v>
      </c>
    </row>
    <row r="28" spans="1:15">
      <c r="A28" s="41" t="s">
        <v>84</v>
      </c>
      <c r="B28" s="41" t="s">
        <v>113</v>
      </c>
      <c r="C28" s="41" t="s">
        <v>78</v>
      </c>
      <c r="D28" s="41" t="str">
        <f>IF($F$31="","",$F$31)</f>
        <v>近接基礎(予備)</v>
      </c>
      <c r="F28" s="293" t="s">
        <v>34</v>
      </c>
      <c r="G28" s="293"/>
      <c r="H28" s="293" t="s">
        <v>35</v>
      </c>
      <c r="I28" s="293"/>
      <c r="J28" s="293"/>
      <c r="K28" s="293"/>
      <c r="L28" s="293" t="s">
        <v>36</v>
      </c>
      <c r="M28" s="293"/>
      <c r="N28" s="293"/>
    </row>
    <row r="29" spans="1:15">
      <c r="A29" s="41" t="s">
        <v>111</v>
      </c>
      <c r="B29" s="41"/>
      <c r="C29" s="41" t="s">
        <v>79</v>
      </c>
      <c r="D29" s="41" t="str">
        <f>IF($F$40="","",$F$40)</f>
        <v>遠隔基礎(予備)</v>
      </c>
      <c r="F29" s="292" t="s">
        <v>224</v>
      </c>
      <c r="G29" s="292"/>
      <c r="H29" s="292"/>
      <c r="I29" s="292"/>
      <c r="J29" s="292"/>
      <c r="K29" s="292"/>
      <c r="L29" s="5">
        <v>1</v>
      </c>
      <c r="M29" s="4" t="s">
        <v>44</v>
      </c>
      <c r="N29" s="5">
        <v>6</v>
      </c>
    </row>
    <row r="30" spans="1:15" ht="14.25" thickBot="1">
      <c r="A30" s="41" t="s">
        <v>176</v>
      </c>
      <c r="C30" s="41" t="s">
        <v>80</v>
      </c>
    </row>
    <row r="31" spans="1:15" ht="14.25" thickBot="1">
      <c r="A31" s="41"/>
      <c r="C31" s="41" t="s">
        <v>69</v>
      </c>
      <c r="F31" s="289" t="s">
        <v>215</v>
      </c>
      <c r="G31" s="290"/>
      <c r="H31" s="1"/>
      <c r="I31" s="1"/>
      <c r="J31" s="1"/>
      <c r="K31" s="1"/>
      <c r="L31" s="1"/>
      <c r="M31" s="1"/>
      <c r="N31" s="1"/>
    </row>
    <row r="32" spans="1:15">
      <c r="C32" s="41" t="s">
        <v>81</v>
      </c>
      <c r="F32" s="291" t="s">
        <v>122</v>
      </c>
      <c r="G32" s="291"/>
      <c r="H32" s="292"/>
      <c r="I32" s="292"/>
      <c r="J32" s="292"/>
      <c r="K32" s="292"/>
      <c r="L32" s="292"/>
      <c r="M32" s="292"/>
      <c r="N32" s="292"/>
    </row>
    <row r="33" spans="3:15">
      <c r="C33" s="41" t="s">
        <v>82</v>
      </c>
      <c r="F33" s="6" t="s">
        <v>21</v>
      </c>
      <c r="G33" s="6" t="s">
        <v>22</v>
      </c>
      <c r="H33" s="6" t="s">
        <v>23</v>
      </c>
      <c r="I33" s="6" t="s">
        <v>24</v>
      </c>
      <c r="J33" s="6" t="s">
        <v>25</v>
      </c>
      <c r="K33" s="6" t="s">
        <v>26</v>
      </c>
      <c r="L33" s="37" t="s">
        <v>85</v>
      </c>
      <c r="M33" s="6" t="s">
        <v>27</v>
      </c>
      <c r="N33" s="6" t="s">
        <v>28</v>
      </c>
      <c r="O33" s="35" t="s">
        <v>33</v>
      </c>
    </row>
    <row r="34" spans="3:15">
      <c r="C34" s="41" t="s">
        <v>83</v>
      </c>
      <c r="F34" s="64" t="s">
        <v>109</v>
      </c>
      <c r="G34" s="4">
        <f>SUM(I34:N34)</f>
        <v>20</v>
      </c>
      <c r="H34" s="36" t="s">
        <v>13</v>
      </c>
      <c r="I34" s="38">
        <f>IF($H34 = "筋力",基本!$C$5,IF($H34 = "耐久力",基本!$C$6,IF($H34 = "敏捷力",基本!$C$7,IF($H34 = "知力",基本!$C$8,IF($H34 = "判断力",基本!$C$9,IF($H34 = "魅力",基本!$C$10,""))))))</f>
        <v>6</v>
      </c>
      <c r="J34" s="4">
        <f>INT($B$3/2)</f>
        <v>7</v>
      </c>
      <c r="K34" s="5">
        <v>3</v>
      </c>
      <c r="L34" s="5">
        <v>2</v>
      </c>
      <c r="M34" s="5">
        <v>1</v>
      </c>
      <c r="N34" s="5">
        <v>1</v>
      </c>
      <c r="O34" s="34">
        <f>SUM(J34:N34)</f>
        <v>14</v>
      </c>
    </row>
    <row r="35" spans="3:15">
      <c r="C35" s="41"/>
      <c r="F35" s="293" t="s">
        <v>3</v>
      </c>
      <c r="G35" s="293"/>
      <c r="H35" s="293" t="s">
        <v>33</v>
      </c>
      <c r="I35" s="293"/>
      <c r="J35" s="6" t="s">
        <v>23</v>
      </c>
      <c r="K35" s="6" t="s">
        <v>24</v>
      </c>
      <c r="L35" s="37" t="s">
        <v>85</v>
      </c>
      <c r="M35" s="6" t="s">
        <v>27</v>
      </c>
      <c r="N35" s="6" t="s">
        <v>28</v>
      </c>
      <c r="O35" s="35" t="s">
        <v>33</v>
      </c>
    </row>
    <row r="36" spans="3:15">
      <c r="F36" s="292" t="s">
        <v>105</v>
      </c>
      <c r="G36" s="292"/>
      <c r="H36" s="292">
        <f>SUM(K36:N36)</f>
        <v>3</v>
      </c>
      <c r="I36" s="292"/>
      <c r="J36" s="36" t="s">
        <v>11</v>
      </c>
      <c r="K36" s="38">
        <f>IF($J36 = "筋力",基本!$C$5,IF($J36 = "耐久力",基本!$C$6,IF($J36 = "敏捷力",基本!$C$7,IF($J36 = "知力",基本!$C$8,IF($J36 = "判断力",基本!$C$9,IF($J36 = "魅力",基本!$C$10,""))))))</f>
        <v>0</v>
      </c>
      <c r="L36" s="5">
        <v>0</v>
      </c>
      <c r="M36" s="5">
        <v>1</v>
      </c>
      <c r="N36" s="5">
        <v>2</v>
      </c>
      <c r="O36" s="34">
        <f>SUM(L36:N36)</f>
        <v>3</v>
      </c>
    </row>
    <row r="37" spans="3:15">
      <c r="F37" s="293" t="s">
        <v>34</v>
      </c>
      <c r="G37" s="293"/>
      <c r="H37" s="293" t="s">
        <v>35</v>
      </c>
      <c r="I37" s="293"/>
      <c r="J37" s="293"/>
      <c r="K37" s="293"/>
      <c r="L37" s="293" t="s">
        <v>2</v>
      </c>
      <c r="M37" s="293"/>
      <c r="N37" s="293"/>
    </row>
    <row r="38" spans="3:15">
      <c r="F38" s="292" t="s">
        <v>224</v>
      </c>
      <c r="G38" s="292"/>
      <c r="H38" s="292"/>
      <c r="I38" s="292"/>
      <c r="J38" s="292"/>
      <c r="K38" s="292"/>
      <c r="L38" s="5">
        <v>4</v>
      </c>
      <c r="M38" s="4"/>
      <c r="N38" s="5">
        <v>12</v>
      </c>
    </row>
    <row r="39" spans="3:15" ht="14.25" thickBot="1"/>
    <row r="40" spans="3:15" ht="14.25" thickBot="1">
      <c r="F40" s="289" t="s">
        <v>123</v>
      </c>
      <c r="G40" s="290"/>
      <c r="H40" s="1"/>
      <c r="I40" s="1"/>
      <c r="J40" s="1"/>
      <c r="K40" s="1"/>
      <c r="L40" s="1"/>
      <c r="M40" s="1"/>
      <c r="N40" s="1"/>
    </row>
    <row r="41" spans="3:15">
      <c r="F41" s="291" t="s">
        <v>122</v>
      </c>
      <c r="G41" s="291"/>
      <c r="H41" s="292"/>
      <c r="I41" s="292"/>
      <c r="J41" s="292"/>
      <c r="K41" s="292"/>
      <c r="L41" s="292"/>
      <c r="M41" s="292"/>
      <c r="N41" s="292"/>
    </row>
    <row r="42" spans="3:15">
      <c r="F42" s="37" t="s">
        <v>21</v>
      </c>
      <c r="G42" s="37" t="s">
        <v>22</v>
      </c>
      <c r="H42" s="37" t="s">
        <v>23</v>
      </c>
      <c r="I42" s="37" t="s">
        <v>24</v>
      </c>
      <c r="J42" s="37" t="s">
        <v>25</v>
      </c>
      <c r="K42" s="37" t="s">
        <v>26</v>
      </c>
      <c r="L42" s="37" t="s">
        <v>85</v>
      </c>
      <c r="M42" s="37" t="s">
        <v>27</v>
      </c>
      <c r="N42" s="37" t="s">
        <v>28</v>
      </c>
      <c r="O42" s="37" t="s">
        <v>33</v>
      </c>
    </row>
    <row r="43" spans="3:15">
      <c r="F43" s="38" t="s">
        <v>66</v>
      </c>
      <c r="G43" s="38">
        <f>SUM(I43:N43)</f>
        <v>21</v>
      </c>
      <c r="H43" s="142" t="s">
        <v>13</v>
      </c>
      <c r="I43" s="38">
        <f>IF($H43 = "筋力",基本!$C$5,IF($H43 = "耐久力",基本!$C$6,IF($H43 = "敏捷力",基本!$C$7,IF($H43 = "知力",基本!$C$8,IF($H43 = "判断力",基本!$C$9,IF($H43 = "魅力",基本!$C$10,""))))))</f>
        <v>6</v>
      </c>
      <c r="J43" s="38">
        <f>INT($B$3/2)</f>
        <v>7</v>
      </c>
      <c r="K43" s="36">
        <v>3</v>
      </c>
      <c r="L43" s="36">
        <v>2</v>
      </c>
      <c r="M43" s="36">
        <v>1</v>
      </c>
      <c r="N43" s="36">
        <v>2</v>
      </c>
      <c r="O43" s="38">
        <f>SUM(J43:N43)</f>
        <v>15</v>
      </c>
    </row>
    <row r="44" spans="3:15">
      <c r="F44" s="296" t="s">
        <v>3</v>
      </c>
      <c r="G44" s="297"/>
      <c r="H44" s="296" t="s">
        <v>33</v>
      </c>
      <c r="I44" s="297"/>
      <c r="J44" s="37" t="s">
        <v>23</v>
      </c>
      <c r="K44" s="37" t="s">
        <v>24</v>
      </c>
      <c r="L44" s="37" t="s">
        <v>85</v>
      </c>
      <c r="M44" s="37" t="s">
        <v>27</v>
      </c>
      <c r="N44" s="37" t="s">
        <v>28</v>
      </c>
      <c r="O44" s="37" t="s">
        <v>33</v>
      </c>
    </row>
    <row r="45" spans="3:15">
      <c r="F45" s="292" t="s">
        <v>105</v>
      </c>
      <c r="G45" s="292"/>
      <c r="H45" s="294">
        <f>SUM(K45:N45)</f>
        <v>9</v>
      </c>
      <c r="I45" s="295"/>
      <c r="J45" s="142" t="s">
        <v>13</v>
      </c>
      <c r="K45" s="38">
        <f>IF($J45 = "筋力",基本!$C$5,IF($J45 = "耐久力",基本!$C$6,IF($J45 = "敏捷力",基本!$C$7,IF($J45 = "知力",基本!$C$8,IF($J45 = "判断力",基本!$C$9,IF($J45 = "魅力",基本!$C$10,""))))))</f>
        <v>6</v>
      </c>
      <c r="L45" s="36">
        <v>0</v>
      </c>
      <c r="M45" s="36">
        <v>1</v>
      </c>
      <c r="N45" s="36">
        <v>2</v>
      </c>
      <c r="O45" s="38">
        <f>SUM(L45:N45)</f>
        <v>3</v>
      </c>
    </row>
    <row r="46" spans="3:15">
      <c r="F46" s="296" t="s">
        <v>34</v>
      </c>
      <c r="G46" s="297"/>
      <c r="H46" s="296" t="s">
        <v>35</v>
      </c>
      <c r="I46" s="298"/>
      <c r="J46" s="298"/>
      <c r="K46" s="297"/>
      <c r="L46" s="296" t="s">
        <v>2</v>
      </c>
      <c r="M46" s="298"/>
      <c r="N46" s="297"/>
    </row>
    <row r="47" spans="3:15">
      <c r="F47" s="292" t="s">
        <v>19</v>
      </c>
      <c r="G47" s="292"/>
      <c r="H47" s="292"/>
      <c r="I47" s="292"/>
      <c r="J47" s="292"/>
      <c r="K47" s="292"/>
      <c r="L47" s="36"/>
      <c r="M47" s="38"/>
      <c r="N47" s="36"/>
    </row>
  </sheetData>
  <mergeCells count="59">
    <mergeCell ref="B22:D22"/>
    <mergeCell ref="F36:G36"/>
    <mergeCell ref="H36:I36"/>
    <mergeCell ref="H20:K20"/>
    <mergeCell ref="L10:N10"/>
    <mergeCell ref="F18:G18"/>
    <mergeCell ref="H18:I18"/>
    <mergeCell ref="F19:G19"/>
    <mergeCell ref="H19:K19"/>
    <mergeCell ref="L19:N19"/>
    <mergeCell ref="F14:N14"/>
    <mergeCell ref="F17:G17"/>
    <mergeCell ref="H17:I17"/>
    <mergeCell ref="F10:G10"/>
    <mergeCell ref="F11:G11"/>
    <mergeCell ref="H10:K10"/>
    <mergeCell ref="H11:K11"/>
    <mergeCell ref="B1:D1"/>
    <mergeCell ref="B2:D2"/>
    <mergeCell ref="B20:D20"/>
    <mergeCell ref="F37:G37"/>
    <mergeCell ref="H37:K37"/>
    <mergeCell ref="F29:G29"/>
    <mergeCell ref="H29:K29"/>
    <mergeCell ref="F23:N23"/>
    <mergeCell ref="F26:G26"/>
    <mergeCell ref="H26:I26"/>
    <mergeCell ref="F27:G27"/>
    <mergeCell ref="H27:I27"/>
    <mergeCell ref="F28:G28"/>
    <mergeCell ref="H28:K28"/>
    <mergeCell ref="L28:N28"/>
    <mergeCell ref="F20:G20"/>
    <mergeCell ref="F41:N41"/>
    <mergeCell ref="F46:G46"/>
    <mergeCell ref="H46:K46"/>
    <mergeCell ref="L46:N46"/>
    <mergeCell ref="F47:G47"/>
    <mergeCell ref="H47:K47"/>
    <mergeCell ref="H45:I45"/>
    <mergeCell ref="F45:G45"/>
    <mergeCell ref="H44:I44"/>
    <mergeCell ref="F44:G44"/>
    <mergeCell ref="F4:G4"/>
    <mergeCell ref="F13:G13"/>
    <mergeCell ref="F22:G22"/>
    <mergeCell ref="F31:G31"/>
    <mergeCell ref="F40:G40"/>
    <mergeCell ref="F5:N5"/>
    <mergeCell ref="F8:G8"/>
    <mergeCell ref="F9:G9"/>
    <mergeCell ref="H8:I8"/>
    <mergeCell ref="H9:I9"/>
    <mergeCell ref="L37:N37"/>
    <mergeCell ref="F38:G38"/>
    <mergeCell ref="H38:K38"/>
    <mergeCell ref="F32:N32"/>
    <mergeCell ref="F35:G35"/>
    <mergeCell ref="H35:I35"/>
  </mergeCells>
  <phoneticPr fontId="1"/>
  <dataValidations count="1">
    <dataValidation type="list" allowBlank="1" showInputMessage="1" showErrorMessage="1" sqref="H7 J9 J18 H16 H25 J27 J36 H34 H43 J45">
      <formula1>$A$5:$A$10</formula1>
    </dataValidation>
  </dataValidations>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3"/>
  <sheetViews>
    <sheetView zoomScaleNormal="100"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61" t="s">
        <v>31</v>
      </c>
      <c r="B1" s="455">
        <v>13</v>
      </c>
      <c r="C1" s="456"/>
      <c r="D1" s="62" t="s">
        <v>39</v>
      </c>
      <c r="E1" s="63" t="s">
        <v>56</v>
      </c>
      <c r="F1" s="457"/>
      <c r="G1" s="458"/>
      <c r="H1" s="15" t="s">
        <v>54</v>
      </c>
    </row>
    <row r="2" spans="1:13" ht="24.75" customHeight="1">
      <c r="A2" s="62" t="s">
        <v>0</v>
      </c>
      <c r="B2" s="459" t="s">
        <v>305</v>
      </c>
      <c r="C2" s="459"/>
      <c r="D2" s="459"/>
      <c r="E2" s="459"/>
      <c r="F2" s="459"/>
      <c r="G2" s="459"/>
      <c r="H2" s="15" t="s">
        <v>55</v>
      </c>
    </row>
    <row r="3" spans="1:13" ht="19.5" customHeight="1">
      <c r="A3" s="45" t="s">
        <v>47</v>
      </c>
      <c r="B3" s="1"/>
      <c r="C3" s="1"/>
      <c r="D3" s="1"/>
      <c r="I3" s="15"/>
    </row>
    <row r="4" spans="1:13">
      <c r="A4" s="16" t="s">
        <v>45</v>
      </c>
      <c r="B4" s="397" t="s">
        <v>179</v>
      </c>
      <c r="C4" s="398"/>
      <c r="D4" s="398"/>
      <c r="E4" s="398"/>
      <c r="F4" s="398"/>
      <c r="G4" s="399"/>
    </row>
    <row r="5" spans="1:13">
      <c r="A5" s="17" t="s">
        <v>38</v>
      </c>
      <c r="B5" s="397" t="s">
        <v>159</v>
      </c>
      <c r="C5" s="398"/>
      <c r="D5" s="398"/>
      <c r="E5" s="398"/>
      <c r="F5" s="398"/>
      <c r="G5" s="399"/>
    </row>
    <row r="6" spans="1:13">
      <c r="A6" s="17" t="s">
        <v>6</v>
      </c>
      <c r="B6" s="397" t="s">
        <v>4</v>
      </c>
      <c r="C6" s="398"/>
      <c r="D6" s="399"/>
      <c r="E6" s="149" t="s">
        <v>42</v>
      </c>
      <c r="F6" s="216" t="str">
        <f>$I$6</f>
        <v>近接or遠隔</v>
      </c>
      <c r="G6" s="148" t="str">
        <f>$J$6</f>
        <v>武器</v>
      </c>
      <c r="H6" s="65" t="s">
        <v>42</v>
      </c>
      <c r="I6" s="142" t="s">
        <v>176</v>
      </c>
      <c r="J6" s="66" t="s">
        <v>178</v>
      </c>
    </row>
    <row r="7" spans="1:13">
      <c r="A7" s="18" t="s">
        <v>5</v>
      </c>
      <c r="B7" s="397" t="s">
        <v>252</v>
      </c>
      <c r="C7" s="398"/>
      <c r="D7" s="399"/>
      <c r="E7" s="149" t="s">
        <v>67</v>
      </c>
      <c r="F7" s="148" t="str">
        <f>IF($I$7 = 0,"", $I$7)</f>
        <v/>
      </c>
      <c r="G7" s="148" t="str">
        <f>IF($J$7 = 0,"", $J$7)</f>
        <v/>
      </c>
      <c r="H7" s="65" t="s">
        <v>67</v>
      </c>
      <c r="I7" s="121"/>
      <c r="J7" s="66">
        <v>0</v>
      </c>
    </row>
    <row r="8" spans="1:13">
      <c r="A8" s="18" t="s">
        <v>7</v>
      </c>
      <c r="B8" s="397" t="s">
        <v>180</v>
      </c>
      <c r="C8" s="398"/>
      <c r="D8" s="398"/>
      <c r="E8" s="398"/>
      <c r="F8" s="398"/>
      <c r="G8" s="399"/>
      <c r="H8" s="65" t="s">
        <v>87</v>
      </c>
      <c r="I8" s="66" t="s">
        <v>124</v>
      </c>
      <c r="J8" s="15" t="s">
        <v>63</v>
      </c>
    </row>
    <row r="9" spans="1:13">
      <c r="A9" s="20" t="s">
        <v>8</v>
      </c>
      <c r="B9" s="485" t="s">
        <v>181</v>
      </c>
      <c r="C9" s="486"/>
      <c r="D9" s="486"/>
      <c r="E9" s="486"/>
      <c r="F9" s="486"/>
      <c r="G9" s="487"/>
      <c r="H9" s="65" t="s">
        <v>50</v>
      </c>
      <c r="I9" s="66" t="s">
        <v>13</v>
      </c>
      <c r="J9" s="64">
        <f>IF($I$9 = "筋力",基本!$C$5,IF($I$9 = "耐久力",基本!$C$6,IF($I$9 = "敏捷力",基本!$C$7,IF($I$9 = "知力",基本!$C$8,IF($I$9 = "判断力",基本!$C$9,IF($I$9 = "魅力",基本!$C$10,""))))))</f>
        <v>6</v>
      </c>
      <c r="K9" s="66" t="s">
        <v>93</v>
      </c>
    </row>
    <row r="10" spans="1:13">
      <c r="A10" s="19"/>
      <c r="B10" s="372" t="s">
        <v>182</v>
      </c>
      <c r="C10" s="365"/>
      <c r="D10" s="365"/>
      <c r="E10" s="365"/>
      <c r="F10" s="365"/>
      <c r="G10" s="366"/>
      <c r="H10" s="65" t="s">
        <v>59</v>
      </c>
      <c r="I10" s="66">
        <v>0</v>
      </c>
      <c r="J10" s="296" t="s">
        <v>52</v>
      </c>
      <c r="K10" s="297"/>
      <c r="L10" s="64">
        <f>IF($I$8=基本!$F$4,基本!$O$7,IF($I$8=基本!$F$13,基本!$O$16,IF($I$8=基本!$F$22,基本!$O$25,IF($I$8=基本!$F$31,基本!$O$34,IF($I$8=基本!$F$40,基本!$O$43,0)))))</f>
        <v>17</v>
      </c>
    </row>
    <row r="11" spans="1:13">
      <c r="A11" s="106"/>
      <c r="B11" s="406" t="s">
        <v>183</v>
      </c>
      <c r="C11" s="368"/>
      <c r="D11" s="368"/>
      <c r="E11" s="368"/>
      <c r="F11" s="368"/>
      <c r="G11" s="369"/>
      <c r="H11" s="43" t="s">
        <v>51</v>
      </c>
      <c r="I11" s="66" t="s">
        <v>13</v>
      </c>
      <c r="J11" s="42">
        <f>IF($I$9 = "筋力",基本!$C$5,IF($I$11 = "耐久力",基本!$C$6,IF($I$11 = "敏捷力",基本!$C$7,IF($I$11 = "知力",基本!$C$8,IF($I$11 = "判断力",基本!$C$9,IF($I$11 = "魅力",基本!$C$10,""))))))</f>
        <v>6</v>
      </c>
      <c r="L11" s="1"/>
    </row>
    <row r="12" spans="1:13">
      <c r="A12" s="19" t="s">
        <v>184</v>
      </c>
      <c r="B12" s="372" t="s">
        <v>185</v>
      </c>
      <c r="C12" s="365"/>
      <c r="D12" s="365"/>
      <c r="E12" s="365"/>
      <c r="F12" s="365"/>
      <c r="G12" s="366"/>
      <c r="H12" s="65" t="s">
        <v>60</v>
      </c>
      <c r="I12" s="66">
        <v>0</v>
      </c>
      <c r="J12" s="296" t="s">
        <v>53</v>
      </c>
      <c r="K12" s="297"/>
      <c r="L12" s="64">
        <f>IF($I$8=基本!$F$4,基本!$O$9,IF($I$8=基本!$F$13,基本!$O$18,IF($I$8=基本!$F$22,基本!$O$27,IF($I$8=基本!$F$31,基本!$O$36,IF($I$8=基本!$F$40,基本!$O$45,0)))))</f>
        <v>6</v>
      </c>
    </row>
    <row r="13" spans="1:13" ht="9" customHeight="1">
      <c r="A13" s="19"/>
      <c r="B13" s="364"/>
      <c r="C13" s="365"/>
      <c r="D13" s="365"/>
      <c r="E13" s="365"/>
      <c r="F13" s="365"/>
      <c r="G13" s="366"/>
      <c r="H13" s="44" t="s">
        <v>88</v>
      </c>
      <c r="I13" s="66">
        <v>2</v>
      </c>
      <c r="J13" s="65" t="s">
        <v>43</v>
      </c>
      <c r="K13" s="66">
        <v>4</v>
      </c>
      <c r="L13" s="137">
        <v>6</v>
      </c>
      <c r="M13" s="147" t="s">
        <v>166</v>
      </c>
    </row>
    <row r="14" spans="1:13" ht="17.25">
      <c r="A14" s="19"/>
      <c r="B14" s="498" t="str">
        <f>"　　　　　　　　　" &amp; "目標：" &amp;基本!$C$10+1 &amp; "マス横滑り" &amp; "　使用者：その後３マス移動"</f>
        <v>　　　　　　　　　目標：6マス横滑り　使用者：その後３マス移動</v>
      </c>
      <c r="C14" s="499"/>
      <c r="D14" s="499"/>
      <c r="E14" s="499"/>
      <c r="F14" s="499"/>
      <c r="G14" s="500"/>
      <c r="H14" s="65" t="s">
        <v>49</v>
      </c>
      <c r="I14" s="66">
        <v>4</v>
      </c>
      <c r="J14" s="65" t="s">
        <v>43</v>
      </c>
      <c r="K14" s="66">
        <v>12</v>
      </c>
    </row>
    <row r="15" spans="1:13" ht="9" customHeight="1">
      <c r="A15" s="21"/>
      <c r="B15" s="463"/>
      <c r="C15" s="464"/>
      <c r="D15" s="464"/>
      <c r="E15" s="464"/>
      <c r="F15" s="464"/>
      <c r="G15" s="465"/>
      <c r="H15" s="65" t="s">
        <v>61</v>
      </c>
      <c r="I15" s="66"/>
    </row>
    <row r="16" spans="1:13" ht="14.25" thickBot="1">
      <c r="A16" s="14" t="s">
        <v>46</v>
      </c>
      <c r="E16" s="3"/>
      <c r="H16" s="77" t="s">
        <v>130</v>
      </c>
      <c r="I16" s="119">
        <f>基本!$B$21</f>
        <v>3</v>
      </c>
      <c r="J16" s="77" t="s">
        <v>43</v>
      </c>
      <c r="K16" s="119">
        <f>基本!$D$21</f>
        <v>8</v>
      </c>
      <c r="L16" s="132"/>
    </row>
    <row r="17" spans="1:11" s="132" customFormat="1" ht="13.5" customHeight="1">
      <c r="A17" s="467" t="str">
        <f>$B$2</f>
        <v>トーネード・ストライク</v>
      </c>
      <c r="B17" s="468"/>
      <c r="C17" s="469"/>
      <c r="D17" s="182" t="s">
        <v>244</v>
      </c>
      <c r="E17" s="385" t="s">
        <v>243</v>
      </c>
      <c r="F17" s="387"/>
      <c r="H17" s="138" t="s">
        <v>167</v>
      </c>
      <c r="I17" s="119">
        <f>基本!$B$23</f>
        <v>1</v>
      </c>
      <c r="J17" s="139" t="s">
        <v>43</v>
      </c>
      <c r="K17" s="119">
        <f>基本!$D$23</f>
        <v>10</v>
      </c>
    </row>
    <row r="18" spans="1:11" s="132" customFormat="1" ht="18.75" customHeight="1" thickBot="1">
      <c r="A18" s="470"/>
      <c r="B18" s="471"/>
      <c r="C18" s="472"/>
      <c r="D18" s="163" t="s">
        <v>240</v>
      </c>
      <c r="E18" s="164" t="s">
        <v>239</v>
      </c>
      <c r="F18" s="183" t="s">
        <v>241</v>
      </c>
      <c r="H18" s="159"/>
      <c r="I18" s="160"/>
      <c r="J18" s="161"/>
      <c r="K18" s="160"/>
    </row>
    <row r="19" spans="1:11" ht="23.25" customHeight="1" thickBot="1">
      <c r="A19" s="428" t="s">
        <v>41</v>
      </c>
      <c r="B19" s="429"/>
      <c r="C19" s="184" t="str">
        <f>$K$9</f>
        <v>AC</v>
      </c>
      <c r="D19" s="177" t="str">
        <f>$J$9+$L$10+$I$10 &amp; "+1d20"&amp;"☆"</f>
        <v>23+1d20☆</v>
      </c>
      <c r="E19" s="178" t="str">
        <f>$J$9+$L$10+2+$I$10 &amp; "+1d20"&amp;"☆"</f>
        <v>25+1d20☆</v>
      </c>
      <c r="F19" s="179" t="str">
        <f>$J$9+$L$10+2+$I$10 &amp; "+1d20"&amp;"☆"</f>
        <v>25+1d20☆</v>
      </c>
      <c r="J19"/>
      <c r="K19"/>
    </row>
    <row r="20" spans="1:11" ht="23.25" customHeight="1">
      <c r="A20" s="388" t="s">
        <v>1</v>
      </c>
      <c r="B20" s="171" t="s">
        <v>3</v>
      </c>
      <c r="C20" s="172" t="str">
        <f>IF($I$15 = 0,"", $I$15)</f>
        <v/>
      </c>
      <c r="D20" s="173" t="str">
        <f>$J$11+$L$12+$I$12 &amp; "+" &amp; $I$13 &amp; "d" &amp; $K$13</f>
        <v>12+2d4</v>
      </c>
      <c r="E20" s="174" t="str">
        <f>$J$11+$L$12+$I$12+2 &amp; "+" &amp; $I$13 &amp; "d" &amp; $K$13</f>
        <v>14+2d4</v>
      </c>
      <c r="F20" s="175" t="str">
        <f>$J$11+$L$12+$I$12+2 &amp; "+" &amp; $I$13 &amp; "d" &amp; $K$13 &amp; "+" &amp; $I$16 &amp; "d" &amp; $K$16</f>
        <v>14+2d4+3d8</v>
      </c>
      <c r="G20"/>
      <c r="H20"/>
      <c r="I20"/>
      <c r="J20"/>
      <c r="K20"/>
    </row>
    <row r="21" spans="1:11" ht="23.25" customHeight="1" thickBot="1">
      <c r="A21" s="389"/>
      <c r="B21" s="92" t="s">
        <v>2</v>
      </c>
      <c r="C21" s="87" t="str">
        <f>IF($I$15 = 0,"", $I$15)</f>
        <v/>
      </c>
      <c r="D21" s="88" t="str">
        <f>$J$11+$L$12+$I$12+($I$13*$K$13) &amp; IF($I$14 = 0,"","+" &amp; $I$14 &amp; "d" &amp; $K$14) &amp; IF($I$17 = 0,"","+" &amp; $I$17 &amp; "d" &amp; $K$17) &amp;"★"</f>
        <v>20+4d12+1d10★</v>
      </c>
      <c r="E21" s="151" t="str">
        <f>$J$11+$L$12+$I$12+2+($I$13*$K$13)&amp; IF($I$14 = 0,"","+" &amp; $I$14 &amp; "d" &amp; $K$14) &amp; IF($I$17 = 0,"","+" &amp; $I$17 &amp; "d" &amp; $K$17) &amp;"★"</f>
        <v>22+4d12+1d10★</v>
      </c>
      <c r="F21" s="89" t="str">
        <f>$J$11+$L$12+$I$12+2+($I$13*$K$13)+($I$16*$K$16) &amp; IF($I$14 = 0,"","+" &amp; $I$14 &amp; "d" &amp; $K$14) &amp; IF($I$17 = 0,"","+" &amp; $I$17 &amp; "d" &amp; $K$17) &amp;"★"</f>
        <v>46+4d12+1d10★</v>
      </c>
      <c r="G21"/>
      <c r="H21"/>
      <c r="I21"/>
      <c r="J21"/>
      <c r="K21"/>
    </row>
    <row r="22" spans="1:11" s="132" customFormat="1" ht="23.25" customHeight="1">
      <c r="A22" s="370" t="str">
        <f>汎12!$B$2</f>
        <v>メディティション・オヴ・ザ・ブレード</v>
      </c>
      <c r="B22" s="136" t="s">
        <v>3</v>
      </c>
      <c r="C22" s="86" t="str">
        <f>IF($I$15 = 0,"", $I$15)</f>
        <v/>
      </c>
      <c r="D22" s="90" t="str">
        <f>$J$11+$L$12+$I$12 &amp; "+" &amp; $I$13 &amp; "d" &amp; $L$13</f>
        <v>12+2d6</v>
      </c>
      <c r="E22" s="150" t="str">
        <f>$J$11+$L$12+$I$12+2 &amp;  "+" &amp; $I$13 &amp; "d" &amp; $L$13</f>
        <v>14+2d6</v>
      </c>
      <c r="F22" s="91" t="str">
        <f>$J$11+$L$12+$I$12+2 &amp; "+" &amp; $I$13 &amp; "d" &amp; $L$13 &amp; "+" &amp; $I$16 &amp; "d" &amp; $K$16</f>
        <v>14+2d6+3d8</v>
      </c>
    </row>
    <row r="23" spans="1:11" s="132" customFormat="1" ht="23.25" customHeight="1" thickBot="1">
      <c r="A23" s="371"/>
      <c r="B23" s="92" t="s">
        <v>2</v>
      </c>
      <c r="C23" s="87" t="str">
        <f>IF($I$15 = 0,"", $I$15)</f>
        <v/>
      </c>
      <c r="D23" s="88" t="str">
        <f>$J$11+$L$12+$I$12+($I$13*$L$13) &amp; IF($I$14 = 0,"","+" &amp; $I$14 &amp; "d" &amp; $K$14) &amp; IF($I$17 = 0,"","+" &amp; $I$17 &amp; "d" &amp; $K$17) &amp;"★"</f>
        <v>24+4d12+1d10★</v>
      </c>
      <c r="E23" s="151" t="str">
        <f>$J$11+$L$12+$I$12+2+($I$13*$L$13)&amp; IF($I$14 = 0,"","+" &amp; $I$14 &amp; "d" &amp; $K$14) &amp; IF($I$17 = 0,"","+" &amp; $I$17 &amp; "d" &amp; $K$17) &amp;"★"</f>
        <v>26+4d12+1d10★</v>
      </c>
      <c r="F23" s="89" t="str">
        <f>$J$11+$L$12+$I$12+2+($I$13*$L$13)+($I$16*$K$16) &amp; IF($I$14 = 0,"","+" &amp; $I$14 &amp; "d" &amp; $K$14) &amp; IF($I$17 = 0,"","+" &amp; $I$17 &amp; "d" &amp; $K$17) &amp;"★"</f>
        <v>50+4d12+1d10★</v>
      </c>
    </row>
    <row r="24" spans="1:11" s="132" customFormat="1" ht="18.75" customHeight="1">
      <c r="A24" s="360" t="s">
        <v>170</v>
      </c>
      <c r="B24" s="360"/>
      <c r="C24" s="360"/>
      <c r="D24" s="360"/>
      <c r="E24" s="360"/>
      <c r="F24" s="360"/>
      <c r="G24" s="360"/>
      <c r="H24" s="94"/>
    </row>
    <row r="25" spans="1:11" s="132" customFormat="1" ht="13.5" customHeight="1">
      <c r="A25" s="361" t="s">
        <v>173</v>
      </c>
      <c r="B25" s="361"/>
      <c r="C25" s="361"/>
      <c r="D25" s="361"/>
      <c r="E25" s="361"/>
      <c r="F25" s="361"/>
      <c r="G25" s="361"/>
      <c r="H25" s="94"/>
      <c r="I25" s="94"/>
      <c r="J25" s="94"/>
      <c r="K25" s="94"/>
    </row>
    <row r="26" spans="1:11" s="132" customFormat="1" ht="13.5" customHeight="1">
      <c r="A26" s="362" t="s">
        <v>174</v>
      </c>
      <c r="B26" s="362"/>
      <c r="C26" s="362"/>
      <c r="D26" s="362"/>
      <c r="E26" s="362"/>
      <c r="F26" s="362"/>
      <c r="G26" s="362"/>
      <c r="H26" s="94"/>
    </row>
    <row r="27" spans="1:11" s="132" customFormat="1" ht="21.75" customHeight="1">
      <c r="A27" s="360" t="s">
        <v>235</v>
      </c>
      <c r="B27" s="360"/>
      <c r="C27" s="360"/>
      <c r="D27" s="360"/>
      <c r="E27" s="360"/>
      <c r="F27" s="360"/>
      <c r="G27" s="360"/>
      <c r="H27" s="94"/>
    </row>
    <row r="28" spans="1:11" s="132" customFormat="1" ht="13.5" customHeight="1">
      <c r="A28" s="361" t="s">
        <v>236</v>
      </c>
      <c r="B28" s="361"/>
      <c r="C28" s="361"/>
      <c r="D28" s="361"/>
      <c r="E28" s="361"/>
      <c r="F28" s="361"/>
      <c r="G28" s="361"/>
      <c r="H28" s="94"/>
      <c r="I28" s="94"/>
      <c r="J28" s="94"/>
      <c r="K28" s="94"/>
    </row>
    <row r="29" spans="1:11" s="132" customFormat="1" ht="13.5" customHeight="1">
      <c r="A29" s="361" t="s">
        <v>237</v>
      </c>
      <c r="B29" s="361"/>
      <c r="C29" s="361"/>
      <c r="D29" s="361"/>
      <c r="E29" s="361"/>
      <c r="F29" s="361"/>
      <c r="G29" s="361"/>
      <c r="H29" s="94"/>
      <c r="I29" s="94"/>
      <c r="J29" s="94"/>
      <c r="K29" s="94"/>
    </row>
    <row r="30" spans="1:11" s="132" customFormat="1" ht="24" customHeight="1">
      <c r="A30" s="360" t="s">
        <v>498</v>
      </c>
      <c r="B30" s="360"/>
      <c r="C30" s="360"/>
      <c r="D30" s="360"/>
      <c r="E30" s="360"/>
      <c r="F30" s="360"/>
      <c r="G30" s="360"/>
      <c r="H30" s="94"/>
    </row>
    <row r="31" spans="1:11" s="132" customFormat="1" ht="13.5" customHeight="1">
      <c r="A31" s="361" t="s">
        <v>496</v>
      </c>
      <c r="B31" s="361"/>
      <c r="C31" s="361"/>
      <c r="D31" s="361"/>
      <c r="E31" s="361"/>
      <c r="F31" s="361"/>
      <c r="G31" s="361"/>
      <c r="H31" s="94"/>
      <c r="I31" s="94"/>
      <c r="J31" s="94"/>
      <c r="K31" s="94"/>
    </row>
    <row r="32" spans="1:11" s="132" customFormat="1" ht="13.5" customHeight="1">
      <c r="A32" s="363" t="s">
        <v>497</v>
      </c>
      <c r="B32" s="363"/>
      <c r="C32" s="363"/>
      <c r="D32" s="363"/>
      <c r="E32" s="363"/>
      <c r="F32" s="363"/>
      <c r="G32" s="363"/>
      <c r="H32" s="94"/>
    </row>
    <row r="33" spans="1:12" s="132" customFormat="1" ht="24" customHeight="1">
      <c r="A33" s="360" t="s">
        <v>515</v>
      </c>
      <c r="B33" s="360"/>
      <c r="C33" s="360"/>
      <c r="D33" s="360"/>
      <c r="E33" s="360"/>
      <c r="F33" s="360"/>
      <c r="G33" s="360"/>
      <c r="H33" s="94"/>
    </row>
    <row r="34" spans="1:12" s="132" customFormat="1" ht="13.5" customHeight="1">
      <c r="A34" s="361" t="s">
        <v>200</v>
      </c>
      <c r="B34" s="361"/>
      <c r="C34" s="361"/>
      <c r="D34" s="361"/>
      <c r="E34" s="361"/>
      <c r="F34" s="361"/>
      <c r="G34" s="361"/>
      <c r="H34" s="94"/>
      <c r="I34" s="94"/>
      <c r="J34" s="94"/>
      <c r="K34" s="94"/>
    </row>
    <row r="35" spans="1:12" s="132" customFormat="1" ht="13.5" customHeight="1">
      <c r="A35" s="362" t="s">
        <v>175</v>
      </c>
      <c r="B35" s="362"/>
      <c r="C35" s="362"/>
      <c r="D35" s="362"/>
      <c r="E35" s="362"/>
      <c r="F35" s="362"/>
      <c r="G35" s="362"/>
      <c r="H35" s="94"/>
    </row>
    <row r="36" spans="1:12">
      <c r="A36" s="68"/>
      <c r="B36" s="68"/>
      <c r="C36" s="68"/>
      <c r="D36" s="68"/>
      <c r="E36" s="68"/>
      <c r="F36" s="68"/>
      <c r="G36" s="68"/>
    </row>
    <row r="37" spans="1:12">
      <c r="A37" s="416" t="s">
        <v>48</v>
      </c>
      <c r="B37" s="417"/>
      <c r="C37" s="417"/>
      <c r="D37" s="417"/>
      <c r="E37" s="417"/>
      <c r="F37" s="417"/>
      <c r="G37" s="418"/>
    </row>
    <row r="38" spans="1:12" s="284" customFormat="1" ht="16.5" customHeight="1">
      <c r="A38" s="501" t="s">
        <v>312</v>
      </c>
      <c r="B38" s="502"/>
      <c r="C38" s="502"/>
      <c r="D38" s="502"/>
      <c r="E38" s="502"/>
      <c r="F38" s="502"/>
      <c r="G38" s="503"/>
      <c r="L38" s="285"/>
    </row>
    <row r="39" spans="1:12" s="82" customFormat="1">
      <c r="A39" s="372" t="s">
        <v>309</v>
      </c>
      <c r="B39" s="365"/>
      <c r="C39" s="365"/>
      <c r="D39" s="365"/>
      <c r="E39" s="365"/>
      <c r="F39" s="365"/>
      <c r="G39" s="366"/>
      <c r="L39" s="81"/>
    </row>
    <row r="40" spans="1:12" s="82" customFormat="1">
      <c r="A40" s="372" t="s">
        <v>310</v>
      </c>
      <c r="B40" s="365"/>
      <c r="C40" s="365"/>
      <c r="D40" s="365"/>
      <c r="E40" s="365"/>
      <c r="F40" s="365"/>
      <c r="G40" s="366"/>
      <c r="L40" s="81"/>
    </row>
    <row r="41" spans="1:12" s="82" customFormat="1">
      <c r="A41" s="372" t="s">
        <v>311</v>
      </c>
      <c r="B41" s="365"/>
      <c r="C41" s="365"/>
      <c r="D41" s="365"/>
      <c r="E41" s="365"/>
      <c r="F41" s="365"/>
      <c r="G41" s="366"/>
      <c r="L41" s="81"/>
    </row>
    <row r="42" spans="1:12" s="82" customFormat="1">
      <c r="A42" s="372" t="s">
        <v>394</v>
      </c>
      <c r="B42" s="365"/>
      <c r="C42" s="365"/>
      <c r="D42" s="365"/>
      <c r="E42" s="365"/>
      <c r="F42" s="365"/>
      <c r="G42" s="366"/>
      <c r="L42" s="81"/>
    </row>
    <row r="43" spans="1:12" s="82" customFormat="1">
      <c r="A43" s="372" t="s">
        <v>539</v>
      </c>
      <c r="B43" s="365"/>
      <c r="C43" s="365"/>
      <c r="D43" s="365"/>
      <c r="E43" s="365"/>
      <c r="F43" s="365"/>
      <c r="G43" s="366"/>
      <c r="L43" s="81"/>
    </row>
    <row r="44" spans="1:12" s="284" customFormat="1" ht="16.5" customHeight="1">
      <c r="A44" s="504" t="s">
        <v>516</v>
      </c>
      <c r="B44" s="505"/>
      <c r="C44" s="505"/>
      <c r="D44" s="505"/>
      <c r="E44" s="505"/>
      <c r="F44" s="505"/>
      <c r="G44" s="506"/>
      <c r="L44" s="285"/>
    </row>
    <row r="45" spans="1:12" s="82" customFormat="1">
      <c r="A45" s="372" t="s">
        <v>397</v>
      </c>
      <c r="B45" s="365"/>
      <c r="C45" s="365"/>
      <c r="D45" s="365"/>
      <c r="E45" s="365"/>
      <c r="F45" s="365"/>
      <c r="G45" s="366"/>
      <c r="L45" s="81"/>
    </row>
    <row r="46" spans="1:12" s="94" customFormat="1">
      <c r="A46" s="372" t="s">
        <v>398</v>
      </c>
      <c r="B46" s="365"/>
      <c r="C46" s="365"/>
      <c r="D46" s="365"/>
      <c r="E46" s="365"/>
      <c r="F46" s="365"/>
      <c r="G46" s="366"/>
      <c r="L46" s="132"/>
    </row>
    <row r="47" spans="1:12" s="82" customFormat="1">
      <c r="A47" s="372" t="s">
        <v>395</v>
      </c>
      <c r="B47" s="365"/>
      <c r="C47" s="365"/>
      <c r="D47" s="365"/>
      <c r="E47" s="365"/>
      <c r="F47" s="365"/>
      <c r="G47" s="366"/>
      <c r="L47" s="81"/>
    </row>
    <row r="48" spans="1:12" s="82" customFormat="1">
      <c r="A48" s="372" t="s">
        <v>396</v>
      </c>
      <c r="B48" s="365"/>
      <c r="C48" s="365"/>
      <c r="D48" s="365"/>
      <c r="E48" s="365"/>
      <c r="F48" s="365"/>
      <c r="G48" s="366"/>
      <c r="L48" s="81"/>
    </row>
    <row r="49" spans="1:12" s="82" customFormat="1">
      <c r="A49" s="372" t="s">
        <v>399</v>
      </c>
      <c r="B49" s="365"/>
      <c r="C49" s="365"/>
      <c r="D49" s="365"/>
      <c r="E49" s="365"/>
      <c r="F49" s="365"/>
      <c r="G49" s="366"/>
      <c r="L49" s="81"/>
    </row>
    <row r="50" spans="1:12" s="82" customFormat="1">
      <c r="A50" s="372" t="s">
        <v>400</v>
      </c>
      <c r="B50" s="365"/>
      <c r="C50" s="365"/>
      <c r="D50" s="365"/>
      <c r="E50" s="365"/>
      <c r="F50" s="365"/>
      <c r="G50" s="366"/>
      <c r="L50" s="81"/>
    </row>
    <row r="51" spans="1:12" s="1" customFormat="1">
      <c r="A51" s="372" t="s">
        <v>401</v>
      </c>
      <c r="B51" s="365"/>
      <c r="C51" s="365"/>
      <c r="D51" s="365"/>
      <c r="E51" s="365"/>
      <c r="F51" s="365"/>
      <c r="G51" s="366"/>
      <c r="L51"/>
    </row>
    <row r="52" spans="1:12" s="1" customFormat="1" ht="8.25" customHeight="1">
      <c r="A52" s="406"/>
      <c r="B52" s="368"/>
      <c r="C52" s="368"/>
      <c r="D52" s="368"/>
      <c r="E52" s="368"/>
      <c r="F52" s="368"/>
      <c r="G52" s="369"/>
      <c r="L52"/>
    </row>
    <row r="53" spans="1:12" s="1" customFormat="1" ht="21">
      <c r="A53" s="57" t="s">
        <v>31</v>
      </c>
      <c r="B53" s="69">
        <f>$B$1</f>
        <v>13</v>
      </c>
      <c r="C53" s="59" t="s">
        <v>39</v>
      </c>
      <c r="D53" s="60" t="str">
        <f>$E$1</f>
        <v>遭遇毎</v>
      </c>
      <c r="E53" s="438" t="str">
        <f>$B$2</f>
        <v>トーネード・ストライク</v>
      </c>
      <c r="F53" s="439"/>
      <c r="G53" s="440"/>
      <c r="L53"/>
    </row>
  </sheetData>
  <mergeCells count="51">
    <mergeCell ref="A33:G33"/>
    <mergeCell ref="A34:G34"/>
    <mergeCell ref="A27:G27"/>
    <mergeCell ref="A35:G35"/>
    <mergeCell ref="A45:G45"/>
    <mergeCell ref="A39:G39"/>
    <mergeCell ref="A43:G43"/>
    <mergeCell ref="A40:G40"/>
    <mergeCell ref="A41:G41"/>
    <mergeCell ref="A42:G42"/>
    <mergeCell ref="A30:G30"/>
    <mergeCell ref="A31:G31"/>
    <mergeCell ref="A32:G32"/>
    <mergeCell ref="B1:C1"/>
    <mergeCell ref="F1:G1"/>
    <mergeCell ref="B2:G2"/>
    <mergeCell ref="B5:G5"/>
    <mergeCell ref="B6:D6"/>
    <mergeCell ref="B4:G4"/>
    <mergeCell ref="B7:D7"/>
    <mergeCell ref="B8:G8"/>
    <mergeCell ref="B9:G9"/>
    <mergeCell ref="B10:G10"/>
    <mergeCell ref="B12:G12"/>
    <mergeCell ref="J10:K10"/>
    <mergeCell ref="B11:G11"/>
    <mergeCell ref="A19:B19"/>
    <mergeCell ref="A29:G29"/>
    <mergeCell ref="A22:A23"/>
    <mergeCell ref="A20:A21"/>
    <mergeCell ref="A17:C18"/>
    <mergeCell ref="E17:F17"/>
    <mergeCell ref="A24:G24"/>
    <mergeCell ref="A25:G25"/>
    <mergeCell ref="A26:G26"/>
    <mergeCell ref="E53:G53"/>
    <mergeCell ref="J12:K12"/>
    <mergeCell ref="B13:G13"/>
    <mergeCell ref="B14:G14"/>
    <mergeCell ref="B15:G15"/>
    <mergeCell ref="A37:G37"/>
    <mergeCell ref="A38:G38"/>
    <mergeCell ref="A51:G51"/>
    <mergeCell ref="A52:G52"/>
    <mergeCell ref="A50:G50"/>
    <mergeCell ref="A47:G47"/>
    <mergeCell ref="A48:G48"/>
    <mergeCell ref="A49:G49"/>
    <mergeCell ref="A28:G28"/>
    <mergeCell ref="A46:G46"/>
    <mergeCell ref="A44:G44"/>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xm:sqref>
        </x14:dataValidation>
        <x14:dataValidation type="list" allowBlank="1" showInputMessage="1" showErrorMessage="1">
          <x14:formula1>
            <xm:f>基本!$A$5:$A$10</xm:f>
          </x14:formula1>
          <xm:sqref>I11 I9</xm:sqref>
        </x14:dataValidation>
        <x14:dataValidation type="list" allowBlank="1" showInputMessage="1" showErrorMessage="1">
          <x14:formula1>
            <xm:f>基本!$A$14:$A$17</xm:f>
          </x14:formula1>
          <xm:sqref>K9</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5"/>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22" t="s">
        <v>31</v>
      </c>
      <c r="B1" s="507">
        <v>5</v>
      </c>
      <c r="C1" s="508"/>
      <c r="D1" s="23" t="s">
        <v>39</v>
      </c>
      <c r="E1" s="24" t="s">
        <v>57</v>
      </c>
      <c r="F1" s="509"/>
      <c r="G1" s="510"/>
      <c r="H1" s="15" t="s">
        <v>54</v>
      </c>
    </row>
    <row r="2" spans="1:13" ht="24.75" customHeight="1">
      <c r="A2" s="23" t="s">
        <v>0</v>
      </c>
      <c r="B2" s="511" t="s">
        <v>281</v>
      </c>
      <c r="C2" s="511"/>
      <c r="D2" s="511"/>
      <c r="E2" s="511"/>
      <c r="F2" s="511"/>
      <c r="G2" s="511"/>
      <c r="H2" s="15" t="s">
        <v>55</v>
      </c>
    </row>
    <row r="3" spans="1:13" ht="19.5" customHeight="1">
      <c r="A3" s="45" t="s">
        <v>47</v>
      </c>
      <c r="B3" s="1"/>
      <c r="C3" s="1"/>
      <c r="D3" s="1"/>
      <c r="I3" s="15"/>
    </row>
    <row r="4" spans="1:13">
      <c r="A4" s="16" t="s">
        <v>45</v>
      </c>
      <c r="B4" s="397" t="s">
        <v>207</v>
      </c>
      <c r="C4" s="398"/>
      <c r="D4" s="398"/>
      <c r="E4" s="398"/>
      <c r="F4" s="398"/>
      <c r="G4" s="399"/>
    </row>
    <row r="5" spans="1:13">
      <c r="A5" s="17" t="s">
        <v>38</v>
      </c>
      <c r="B5" s="397" t="s">
        <v>205</v>
      </c>
      <c r="C5" s="398"/>
      <c r="D5" s="398"/>
      <c r="E5" s="398"/>
      <c r="F5" s="398"/>
      <c r="G5" s="399"/>
    </row>
    <row r="6" spans="1:13">
      <c r="A6" s="17" t="s">
        <v>6</v>
      </c>
      <c r="B6" s="397" t="s">
        <v>4</v>
      </c>
      <c r="C6" s="398"/>
      <c r="D6" s="399"/>
      <c r="E6" s="149" t="s">
        <v>42</v>
      </c>
      <c r="F6" s="216" t="str">
        <f>$I$6</f>
        <v>近接or遠隔</v>
      </c>
      <c r="G6" s="148" t="str">
        <f>$J$6</f>
        <v>武器</v>
      </c>
      <c r="H6" s="74" t="s">
        <v>42</v>
      </c>
      <c r="I6" s="142" t="s">
        <v>176</v>
      </c>
      <c r="J6" s="75" t="s">
        <v>178</v>
      </c>
    </row>
    <row r="7" spans="1:13">
      <c r="A7" s="47" t="s">
        <v>5</v>
      </c>
      <c r="B7" s="397" t="s">
        <v>94</v>
      </c>
      <c r="C7" s="398"/>
      <c r="D7" s="399"/>
      <c r="E7" s="149" t="s">
        <v>67</v>
      </c>
      <c r="F7" s="148" t="str">
        <f>IF($I$7 = 0,"", $I$7)</f>
        <v/>
      </c>
      <c r="G7" s="148" t="str">
        <f>IF($J$7 = 0,"", $J$7)</f>
        <v/>
      </c>
      <c r="H7" s="74" t="s">
        <v>67</v>
      </c>
      <c r="I7" s="121"/>
      <c r="J7" s="75"/>
    </row>
    <row r="8" spans="1:13">
      <c r="A8" s="47" t="s">
        <v>7</v>
      </c>
      <c r="B8" s="397" t="s">
        <v>249</v>
      </c>
      <c r="C8" s="398"/>
      <c r="D8" s="398"/>
      <c r="E8" s="398"/>
      <c r="F8" s="398"/>
      <c r="G8" s="399"/>
      <c r="H8" s="74" t="s">
        <v>87</v>
      </c>
      <c r="I8" s="75" t="s">
        <v>124</v>
      </c>
      <c r="J8" s="15" t="s">
        <v>63</v>
      </c>
    </row>
    <row r="9" spans="1:13">
      <c r="A9" s="20" t="s">
        <v>8</v>
      </c>
      <c r="B9" s="400" t="s">
        <v>188</v>
      </c>
      <c r="C9" s="401"/>
      <c r="D9" s="401"/>
      <c r="E9" s="401"/>
      <c r="F9" s="401"/>
      <c r="G9" s="402"/>
      <c r="H9" s="74" t="s">
        <v>50</v>
      </c>
      <c r="I9" s="75" t="s">
        <v>13</v>
      </c>
      <c r="J9" s="73">
        <f>IF($I$9 = "筋力",基本!$C$5,IF($I$9 = "耐久力",基本!$C$6,IF($I$9 = "敏捷力",基本!$C$7,IF($I$9 = "知力",基本!$C$8,IF($I$9 = "判断力",基本!$C$9,IF($I$9 = "魅力",基本!$C$10,""))))))</f>
        <v>6</v>
      </c>
      <c r="K9" s="75" t="s">
        <v>18</v>
      </c>
    </row>
    <row r="10" spans="1:13">
      <c r="A10" s="19"/>
      <c r="B10" s="372" t="s">
        <v>206</v>
      </c>
      <c r="C10" s="365"/>
      <c r="D10" s="365"/>
      <c r="E10" s="365"/>
      <c r="F10" s="365"/>
      <c r="G10" s="366"/>
      <c r="H10" s="74" t="s">
        <v>59</v>
      </c>
      <c r="I10" s="75">
        <v>0</v>
      </c>
      <c r="J10" s="296" t="s">
        <v>52</v>
      </c>
      <c r="K10" s="297"/>
      <c r="L10" s="73">
        <f>IF($I$8=基本!$F$4,基本!$O$7,IF($I$8=基本!$F$13,基本!$O$16,IF($I$8=基本!$F$22,基本!$O$25,IF($I$8=基本!$F$31,基本!$O$34,IF($I$8=基本!$F$40,基本!$O$43,0)))))</f>
        <v>17</v>
      </c>
    </row>
    <row r="11" spans="1:13">
      <c r="A11" s="105" t="s">
        <v>62</v>
      </c>
      <c r="B11" s="485" t="s">
        <v>188</v>
      </c>
      <c r="C11" s="486"/>
      <c r="D11" s="486"/>
      <c r="E11" s="486"/>
      <c r="F11" s="486"/>
      <c r="G11" s="487"/>
      <c r="H11" s="43" t="s">
        <v>51</v>
      </c>
      <c r="I11" s="75" t="s">
        <v>13</v>
      </c>
      <c r="J11" s="42">
        <f>IF($I$9 = "筋力",基本!$C$5,IF($I$11 = "耐久力",基本!$C$6,IF($I$11 = "敏捷力",基本!$C$7,IF($I$11 = "知力",基本!$C$8,IF($I$11 = "判断力",基本!$C$9,IF($I$11 = "魅力",基本!$C$10,""))))))</f>
        <v>6</v>
      </c>
      <c r="L11" s="1"/>
    </row>
    <row r="12" spans="1:13">
      <c r="A12" s="21"/>
      <c r="B12" s="406"/>
      <c r="C12" s="368"/>
      <c r="D12" s="368"/>
      <c r="E12" s="368"/>
      <c r="F12" s="368"/>
      <c r="G12" s="369"/>
      <c r="H12" s="74" t="s">
        <v>60</v>
      </c>
      <c r="I12" s="75">
        <v>0</v>
      </c>
      <c r="J12" s="296" t="s">
        <v>53</v>
      </c>
      <c r="K12" s="297"/>
      <c r="L12" s="73">
        <f>IF($I$8=基本!$F$4,基本!$O$9,IF($I$8=基本!$F$13,基本!$O$18,IF($I$8=基本!$F$22,基本!$O$27,IF($I$8=基本!$F$31,基本!$O$36,IF($I$8=基本!$F$40,基本!$O$45,0)))))</f>
        <v>6</v>
      </c>
    </row>
    <row r="13" spans="1:13" ht="14.25" thickBot="1">
      <c r="A13" s="14" t="s">
        <v>46</v>
      </c>
      <c r="E13" s="3"/>
      <c r="H13" s="44" t="s">
        <v>88</v>
      </c>
      <c r="I13" s="75">
        <v>1</v>
      </c>
      <c r="J13" s="74" t="s">
        <v>43</v>
      </c>
      <c r="K13" s="75">
        <v>4</v>
      </c>
      <c r="L13" s="137">
        <v>6</v>
      </c>
      <c r="M13" s="147" t="s">
        <v>166</v>
      </c>
    </row>
    <row r="14" spans="1:13">
      <c r="A14" s="514" t="str">
        <f>$B$2</f>
        <v>ブラッド・バス</v>
      </c>
      <c r="B14" s="515"/>
      <c r="C14" s="516"/>
      <c r="D14" s="182" t="s">
        <v>244</v>
      </c>
      <c r="E14" s="385" t="s">
        <v>243</v>
      </c>
      <c r="F14" s="386"/>
      <c r="G14" s="387"/>
      <c r="H14" s="74" t="s">
        <v>49</v>
      </c>
      <c r="I14" s="75">
        <v>4</v>
      </c>
      <c r="J14" s="74" t="s">
        <v>43</v>
      </c>
      <c r="K14" s="75">
        <v>12</v>
      </c>
    </row>
    <row r="15" spans="1:13" ht="18.75" customHeight="1" thickBot="1">
      <c r="A15" s="517"/>
      <c r="B15" s="518"/>
      <c r="C15" s="519"/>
      <c r="D15" s="163" t="s">
        <v>240</v>
      </c>
      <c r="E15" s="164" t="s">
        <v>239</v>
      </c>
      <c r="F15" s="165" t="s">
        <v>241</v>
      </c>
      <c r="G15" s="166" t="s">
        <v>253</v>
      </c>
      <c r="H15" s="74" t="s">
        <v>61</v>
      </c>
      <c r="I15" s="75"/>
    </row>
    <row r="16" spans="1:13" ht="23.25" customHeight="1" thickBot="1">
      <c r="A16" s="428" t="s">
        <v>41</v>
      </c>
      <c r="B16" s="429"/>
      <c r="C16" s="184" t="str">
        <f>$K$9</f>
        <v>頑健</v>
      </c>
      <c r="D16" s="177" t="str">
        <f>$J$9+$L$10+$I$10 &amp; "+1d20"&amp;"☆"</f>
        <v>23+1d20☆</v>
      </c>
      <c r="E16" s="178" t="str">
        <f>$J$9+$L$10+2+$I$10 &amp; "+1d20"&amp;"☆"</f>
        <v>25+1d20☆</v>
      </c>
      <c r="F16" s="181" t="str">
        <f>$J$9+$L$10+2+$I$10 &amp; "+1d20"&amp;"☆"</f>
        <v>25+1d20☆</v>
      </c>
      <c r="G16" s="179" t="str">
        <f>$J$9+$L$10+2+$I$10 &amp; "+1d20"&amp;"☆"</f>
        <v>25+1d20☆</v>
      </c>
      <c r="H16" s="77" t="s">
        <v>130</v>
      </c>
      <c r="I16" s="119">
        <f>基本!$B$21</f>
        <v>3</v>
      </c>
      <c r="J16" s="77" t="s">
        <v>43</v>
      </c>
      <c r="K16" s="119">
        <f>基本!$D$21</f>
        <v>8</v>
      </c>
      <c r="L16" s="132"/>
    </row>
    <row r="17" spans="1:13" ht="23.25" customHeight="1">
      <c r="A17" s="388" t="s">
        <v>1</v>
      </c>
      <c r="B17" s="512" t="s">
        <v>3</v>
      </c>
      <c r="C17" s="198" t="s">
        <v>58</v>
      </c>
      <c r="D17" s="173" t="str">
        <f>$J$11+$L$12+$I$12 &amp; "+" &amp; $I$13 &amp; "d" &amp; $K$13</f>
        <v>12+1d4</v>
      </c>
      <c r="E17" s="174" t="str">
        <f>$J$11+$L$12+$I$12+2 &amp; "+" &amp; $I$13 &amp; "d" &amp; $K$13</f>
        <v>14+1d4</v>
      </c>
      <c r="F17" s="180" t="str">
        <f>$J$11+$L$12+$I$12+2 &amp; "+" &amp; $I$13 &amp; "d" &amp; $K$13</f>
        <v>14+1d4</v>
      </c>
      <c r="G17" s="175" t="str">
        <f>$J$11+$L$12+$I$12+2+$I$19 &amp; "+" &amp; $I$13 &amp; "d" &amp; $K$13</f>
        <v>20+1d4</v>
      </c>
      <c r="H17" s="138" t="s">
        <v>167</v>
      </c>
      <c r="I17" s="119">
        <f>基本!$B$23</f>
        <v>1</v>
      </c>
      <c r="J17" s="139" t="s">
        <v>43</v>
      </c>
      <c r="K17" s="119">
        <f>基本!$D$23</f>
        <v>10</v>
      </c>
    </row>
    <row r="18" spans="1:13" ht="23.25" customHeight="1">
      <c r="A18" s="388"/>
      <c r="B18" s="513"/>
      <c r="C18" s="70" t="str">
        <f>IF($I$15 = 0,"", $I$15)</f>
        <v/>
      </c>
      <c r="D18" s="71" t="str">
        <f>$J$11+$L$12+$I$12+$J$11+$L$12+$I$12 &amp; "+" &amp; ($I$13*2) &amp; "d" &amp; $K$13</f>
        <v>24+2d4</v>
      </c>
      <c r="E18" s="152" t="str">
        <f>$J$11+$L$12+$I$12+2+$J$11+$L$12+$I$12+2&amp;"+"&amp;($I$13*2)&amp;"d"&amp;$K$13</f>
        <v>28+2d4</v>
      </c>
      <c r="F18" s="206" t="str">
        <f>$J$11+$L$12+$I$12+2+$J$11+$L$12+$I$12+2 &amp; "+" &amp; ($I$13*2) &amp; "d" &amp; $K$13 &amp; "+" &amp; $I$16 &amp; "d" &amp; $K$16</f>
        <v>28+2d4+3d8</v>
      </c>
      <c r="G18" s="72" t="str">
        <f>$J$11+$L$12+$I$12+2+$I$19+$J$11+$L$12+$I$12+2+$I$19 &amp; "+" &amp; ($I$13*2) &amp; "d" &amp; $K$13 &amp; "+" &amp; $I$16 &amp; "d" &amp; $K$16</f>
        <v>40+2d4+3d8</v>
      </c>
    </row>
    <row r="19" spans="1:13" s="132" customFormat="1" ht="23.25" customHeight="1" thickBot="1">
      <c r="A19" s="389"/>
      <c r="B19" s="92" t="s">
        <v>2</v>
      </c>
      <c r="C19" s="185" t="str">
        <f>IF($I$15 = 0,"", $I$15)</f>
        <v/>
      </c>
      <c r="D19" s="186" t="str">
        <f>$J$11+$L$12+$I$12+($I$13*$K$13)+$J$11+$L$12+$I$12+($I$13*$K$13) &amp; IF($I$14 = 0,"","+" &amp; $I$14 &amp; "d" &amp; $K$14) &amp; IF($I$17 = 0,"","+" &amp; $I$17 &amp; "d" &amp; $K$17) &amp;"★"</f>
        <v>32+4d12+1d10★</v>
      </c>
      <c r="E19" s="187" t="str">
        <f>$J$11+$L$12+$I$12+2+($I$13*$K$13)+$J$11+$L$12+$I$12+2 +($I$13*$K$13) &amp; IF($I$14 = 0,"","+" &amp; $I$14 &amp; "d" &amp; $K$14) &amp; IF($I$17 = 0,"","+" &amp; $I$17 &amp; "d" &amp; $K$17) &amp;"★"</f>
        <v>36+4d12+1d10★</v>
      </c>
      <c r="F19" s="207" t="str">
        <f>$J$11+$L$12+$I$12+2+($I$13*$K$13)+($I$16*$K$16)+$J$11+$L$12+$I$12+2+($I$13*$K$13) &amp; IF($I$14 = 0,"","+" &amp; $I$14 &amp; "d" &amp; $K$14) &amp; IF($I$17 = 0,"","+" &amp; $I$17 &amp; "d" &amp; $K$17) &amp;"★"</f>
        <v>60+4d12+1d10★</v>
      </c>
      <c r="G19" s="188" t="str">
        <f>$J$11+$L$12+$I$12+2+$I$19+($I$13*$K$13)+($I$16*$K$16)+$J$11+$L$12+$I$12+2+$I$19+($I$13*$K$13) &amp; IF($I$14 = 0,"","+" &amp; $I$14 &amp; "d" &amp; $K$14) &amp; IF($I$17 = 0,"","+" &amp; $I$17 &amp; "d" &amp; $K$17) &amp;"★"</f>
        <v>72+4d12+1d10★</v>
      </c>
      <c r="H19" s="157" t="s">
        <v>60</v>
      </c>
      <c r="I19" s="158">
        <v>6</v>
      </c>
      <c r="J19"/>
      <c r="K19"/>
      <c r="L19"/>
      <c r="M19"/>
    </row>
    <row r="20" spans="1:13" s="132" customFormat="1" ht="23.25" customHeight="1">
      <c r="A20" s="527" t="str">
        <f>汎12!$B$2</f>
        <v>メディティション・オヴ・ザ・ブレード</v>
      </c>
      <c r="B20" s="526" t="s">
        <v>3</v>
      </c>
      <c r="C20" s="190" t="s">
        <v>58</v>
      </c>
      <c r="D20" s="191" t="str">
        <f>$J$11+$L$12+$I$12 &amp; "+" &amp; $I$13 &amp; "d" &amp; $L$13</f>
        <v>12+1d6</v>
      </c>
      <c r="E20" s="192" t="str">
        <f>$J$11+$L$12+$I$12+2 &amp;  "+" &amp; $I$13 &amp; "d" &amp; $L$13</f>
        <v>14+1d6</v>
      </c>
      <c r="F20" s="208" t="str">
        <f>$J$11+$L$12+$I$12+2 &amp; "+" &amp; $I$13 &amp; "d" &amp; $L$13</f>
        <v>14+1d6</v>
      </c>
      <c r="G20" s="193" t="str">
        <f>$J$11+$L$12+$I$12+2+$I$19 &amp; "+" &amp; $I$13 &amp; "d" &amp; $L$13</f>
        <v>20+1d6</v>
      </c>
      <c r="H20" s="159"/>
      <c r="I20" s="160"/>
      <c r="J20" s="161"/>
      <c r="K20" s="160"/>
    </row>
    <row r="21" spans="1:13" ht="23.25" customHeight="1">
      <c r="A21" s="528"/>
      <c r="B21" s="513"/>
      <c r="C21" s="194" t="str">
        <f>IF($I$15 = 0,"", $I$15)</f>
        <v/>
      </c>
      <c r="D21" s="195" t="str">
        <f>$J$11+$L$12+$I$12+$J$11+$L$12+$I$12 &amp; "+" &amp; ($I$13*2) &amp; "d" &amp; $L$13</f>
        <v>24+2d6</v>
      </c>
      <c r="E21" s="196" t="str">
        <f>$J$11+$L$12+$I$12+2+$J$11+$L$12+$I$12+2&amp;"+"&amp;($I$13*2)&amp;"d"&amp;$L$13</f>
        <v>28+2d6</v>
      </c>
      <c r="F21" s="209" t="str">
        <f>$J$11+$L$12+$I$12+2+$J$11+$L$12+$I$12+2 &amp; "+" &amp; ($I$13*2) &amp; "d" &amp; $L$13 &amp; "+" &amp; $I$16 &amp; "d" &amp; $K$16</f>
        <v>28+2d6+3d8</v>
      </c>
      <c r="G21" s="197" t="str">
        <f>$J$11+$L$12+$I$12+2+$I$19+$J$11+$L$12+$I$12+2+$I$19 &amp; "+" &amp; ($I$13*2) &amp; "d" &amp; $L$13 &amp; "+" &amp; $I$16 &amp; "d" &amp; $K$16</f>
        <v>40+2d6+3d8</v>
      </c>
    </row>
    <row r="22" spans="1:13" s="132" customFormat="1" ht="23.25" customHeight="1" thickBot="1">
      <c r="A22" s="529"/>
      <c r="B22" s="92" t="s">
        <v>2</v>
      </c>
      <c r="C22" s="185" t="str">
        <f>IF($I$15 = 0,"", $I$15)</f>
        <v/>
      </c>
      <c r="D22" s="186" t="str">
        <f>$J$11+$L$12+$I$12+($I$13*$L$13)+$J$11+$L$12+$I$12+($I$13*$L$13) &amp; IF($I$14 = 0,"","+" &amp; $I$14 &amp; "d" &amp; $K$14) &amp; IF($I$17 = 0,"","+" &amp; $I$17 &amp; "d" &amp; $K$17) &amp;"★"</f>
        <v>36+4d12+1d10★</v>
      </c>
      <c r="E22" s="187" t="str">
        <f>$J$11+$L$12+$I$12+2+($I$13*$L$13)+$J$11+$L$12+$I$12+2+($I$13*$L$13) &amp; IF($I$14 = 0,"","+" &amp; $I$14 &amp; "d" &amp; $K$14) &amp; IF($I$17 = 0,"","+" &amp; $I$17 &amp; "d" &amp; $K$17) &amp;"★"</f>
        <v>40+4d12+1d10★</v>
      </c>
      <c r="F22" s="207" t="str">
        <f>$J$11+$L$12+$I$12+2+($I$13*$L$13)+($I$16*$K$16)+$J$11+$L$12+$I$12+2+($I$13*$L$13) &amp; IF($I$14 = 0,"","+" &amp; $I$14 &amp; "d" &amp; $K$14) &amp; IF($I$17 = 0,"","+" &amp; $I$17 &amp; "d" &amp; $K$17) &amp;"★"</f>
        <v>64+4d12+1d10★</v>
      </c>
      <c r="G22" s="188" t="str">
        <f>$J$11+$L$12+$I$12+2+$I$19+($I$13*$L$13)+($I$16*$K$16)+$J$11+$L$12+$I$12+2+$I$19+($I$13*$L$13) &amp; IF($I$14 = 0,"","+" &amp; $I$14 &amp; "d" &amp; $K$14) &amp; IF($I$17 = 0,"","+" &amp; $I$17 &amp; "d" &amp; $K$17) &amp;"★"</f>
        <v>76+4d12+1d10★</v>
      </c>
      <c r="H22" s="94"/>
    </row>
    <row r="23" spans="1:13" ht="23.25" customHeight="1">
      <c r="A23" s="360" t="s">
        <v>170</v>
      </c>
      <c r="B23" s="360"/>
      <c r="C23" s="360"/>
      <c r="D23" s="360"/>
      <c r="E23" s="360"/>
      <c r="F23" s="360"/>
      <c r="G23" s="360"/>
      <c r="I23"/>
      <c r="J23"/>
      <c r="K23"/>
    </row>
    <row r="24" spans="1:13" s="168" customFormat="1" ht="13.5" customHeight="1">
      <c r="A24" s="361" t="s">
        <v>173</v>
      </c>
      <c r="B24" s="361"/>
      <c r="C24" s="361"/>
      <c r="D24" s="361"/>
      <c r="E24" s="361"/>
      <c r="F24" s="361"/>
      <c r="G24" s="361"/>
      <c r="H24" s="189"/>
    </row>
    <row r="25" spans="1:13" s="132" customFormat="1" ht="13.5" customHeight="1">
      <c r="A25" s="362" t="s">
        <v>174</v>
      </c>
      <c r="B25" s="362"/>
      <c r="C25" s="362"/>
      <c r="D25" s="362"/>
      <c r="E25" s="362"/>
      <c r="F25" s="362"/>
      <c r="G25" s="362"/>
      <c r="H25" s="94"/>
    </row>
    <row r="26" spans="1:13" s="132" customFormat="1" ht="23.25" customHeight="1">
      <c r="A26" s="360" t="s">
        <v>235</v>
      </c>
      <c r="B26" s="360"/>
      <c r="C26" s="360"/>
      <c r="D26" s="360"/>
      <c r="E26" s="360"/>
      <c r="F26" s="360"/>
      <c r="G26" s="360"/>
      <c r="H26" s="94"/>
    </row>
    <row r="27" spans="1:13" s="132" customFormat="1" ht="13.5" customHeight="1">
      <c r="A27" s="361" t="s">
        <v>236</v>
      </c>
      <c r="B27" s="361"/>
      <c r="C27" s="361"/>
      <c r="D27" s="361"/>
      <c r="E27" s="361"/>
      <c r="F27" s="361"/>
      <c r="G27" s="361"/>
      <c r="H27" s="94"/>
    </row>
    <row r="28" spans="1:13" s="132" customFormat="1" ht="13.5" customHeight="1">
      <c r="A28" s="361" t="s">
        <v>237</v>
      </c>
      <c r="B28" s="361"/>
      <c r="C28" s="361"/>
      <c r="D28" s="361"/>
      <c r="E28" s="361"/>
      <c r="F28" s="361"/>
      <c r="G28" s="361"/>
      <c r="H28" s="94"/>
    </row>
    <row r="29" spans="1:13" s="132" customFormat="1" ht="24" customHeight="1">
      <c r="A29" s="360" t="s">
        <v>498</v>
      </c>
      <c r="B29" s="360"/>
      <c r="C29" s="360"/>
      <c r="D29" s="360"/>
      <c r="E29" s="360"/>
      <c r="F29" s="360"/>
      <c r="G29" s="360"/>
      <c r="H29" s="94"/>
    </row>
    <row r="30" spans="1:13" s="132" customFormat="1" ht="13.5" customHeight="1">
      <c r="A30" s="361" t="s">
        <v>496</v>
      </c>
      <c r="B30" s="361"/>
      <c r="C30" s="361"/>
      <c r="D30" s="361"/>
      <c r="E30" s="361"/>
      <c r="F30" s="361"/>
      <c r="G30" s="361"/>
      <c r="H30" s="94"/>
      <c r="I30" s="94"/>
      <c r="J30" s="94"/>
      <c r="K30" s="94"/>
    </row>
    <row r="31" spans="1:13" s="132" customFormat="1" ht="13.5" customHeight="1">
      <c r="A31" s="363" t="s">
        <v>497</v>
      </c>
      <c r="B31" s="363"/>
      <c r="C31" s="363"/>
      <c r="D31" s="363"/>
      <c r="E31" s="363"/>
      <c r="F31" s="363"/>
      <c r="G31" s="363"/>
      <c r="H31" s="94"/>
    </row>
    <row r="32" spans="1:13" s="132" customFormat="1" ht="23.25" customHeight="1">
      <c r="A32" s="360" t="s">
        <v>515</v>
      </c>
      <c r="B32" s="360"/>
      <c r="C32" s="360"/>
      <c r="D32" s="360"/>
      <c r="E32" s="360"/>
      <c r="F32" s="360"/>
      <c r="G32" s="360"/>
      <c r="H32" s="94"/>
      <c r="I32" s="94"/>
      <c r="J32" s="94"/>
      <c r="K32" s="94"/>
    </row>
    <row r="33" spans="1:12" s="132" customFormat="1" ht="13.5" customHeight="1">
      <c r="A33" s="361" t="s">
        <v>200</v>
      </c>
      <c r="B33" s="361"/>
      <c r="C33" s="361"/>
      <c r="D33" s="361"/>
      <c r="E33" s="361"/>
      <c r="F33" s="361"/>
      <c r="G33" s="361"/>
      <c r="H33" s="94"/>
    </row>
    <row r="34" spans="1:12" s="132" customFormat="1" ht="13.5" customHeight="1">
      <c r="A34" s="362" t="s">
        <v>175</v>
      </c>
      <c r="B34" s="362"/>
      <c r="C34" s="362"/>
      <c r="D34" s="362"/>
      <c r="E34" s="362"/>
      <c r="F34" s="362"/>
      <c r="G34" s="362"/>
      <c r="H34" s="94"/>
    </row>
    <row r="35" spans="1:12" s="132" customFormat="1" ht="13.5" customHeight="1">
      <c r="A35" s="368"/>
      <c r="B35" s="368"/>
      <c r="C35" s="368"/>
      <c r="D35" s="368"/>
      <c r="E35" s="368"/>
      <c r="F35" s="368"/>
      <c r="G35" s="368"/>
      <c r="H35" s="94"/>
      <c r="I35" s="94"/>
      <c r="J35" s="94"/>
      <c r="K35" s="94"/>
    </row>
    <row r="36" spans="1:12" s="132" customFormat="1" ht="7.5" customHeight="1">
      <c r="A36" s="372"/>
      <c r="B36" s="365"/>
      <c r="C36" s="365"/>
      <c r="D36" s="365"/>
      <c r="E36" s="365"/>
      <c r="F36" s="365"/>
      <c r="G36" s="366"/>
      <c r="H36" s="94"/>
    </row>
    <row r="37" spans="1:12" s="132" customFormat="1" ht="17.25">
      <c r="A37" s="523" t="s">
        <v>349</v>
      </c>
      <c r="B37" s="524"/>
      <c r="C37" s="524"/>
      <c r="D37" s="524"/>
      <c r="E37" s="524"/>
      <c r="F37" s="524"/>
      <c r="G37" s="525"/>
      <c r="H37" s="94"/>
      <c r="I37" s="94"/>
      <c r="J37" s="94"/>
      <c r="K37" s="94"/>
    </row>
    <row r="38" spans="1:12" s="132" customFormat="1" ht="9" customHeight="1">
      <c r="A38" s="372"/>
      <c r="B38" s="365"/>
      <c r="C38" s="365"/>
      <c r="D38" s="365"/>
      <c r="E38" s="365"/>
      <c r="F38" s="365"/>
      <c r="G38" s="366"/>
      <c r="H38" s="94"/>
    </row>
    <row r="39" spans="1:12">
      <c r="A39" s="372" t="s">
        <v>353</v>
      </c>
      <c r="B39" s="365"/>
      <c r="C39" s="365"/>
      <c r="D39" s="365"/>
      <c r="E39" s="365"/>
      <c r="F39" s="365"/>
      <c r="G39" s="366"/>
    </row>
    <row r="40" spans="1:12">
      <c r="A40" s="372" t="s">
        <v>347</v>
      </c>
      <c r="B40" s="365"/>
      <c r="C40" s="365"/>
      <c r="D40" s="365"/>
      <c r="E40" s="365"/>
      <c r="F40" s="365"/>
      <c r="G40" s="366"/>
    </row>
    <row r="41" spans="1:12">
      <c r="A41" s="372" t="s">
        <v>348</v>
      </c>
      <c r="B41" s="365"/>
      <c r="C41" s="365"/>
      <c r="D41" s="365"/>
      <c r="E41" s="365"/>
      <c r="F41" s="365"/>
      <c r="G41" s="366"/>
    </row>
    <row r="42" spans="1:12" ht="7.5" customHeight="1">
      <c r="A42" s="372"/>
      <c r="B42" s="365"/>
      <c r="C42" s="365"/>
      <c r="D42" s="365"/>
      <c r="E42" s="365"/>
      <c r="F42" s="365"/>
      <c r="G42" s="366"/>
    </row>
    <row r="43" spans="1:12" s="1" customFormat="1">
      <c r="A43" s="372" t="s">
        <v>355</v>
      </c>
      <c r="B43" s="365"/>
      <c r="C43" s="365"/>
      <c r="D43" s="365"/>
      <c r="E43" s="365"/>
      <c r="F43" s="365"/>
      <c r="G43" s="366"/>
      <c r="L43"/>
    </row>
    <row r="44" spans="1:12" s="1" customFormat="1">
      <c r="A44" s="372"/>
      <c r="B44" s="365"/>
      <c r="C44" s="365"/>
      <c r="D44" s="365"/>
      <c r="E44" s="365"/>
      <c r="F44" s="365"/>
      <c r="G44" s="366"/>
      <c r="L44"/>
    </row>
    <row r="45" spans="1:12" s="94" customFormat="1">
      <c r="A45" s="372" t="s">
        <v>351</v>
      </c>
      <c r="B45" s="365"/>
      <c r="C45" s="365"/>
      <c r="D45" s="365"/>
      <c r="E45" s="365"/>
      <c r="F45" s="365"/>
      <c r="G45" s="366"/>
      <c r="L45" s="132"/>
    </row>
    <row r="46" spans="1:12" s="1" customFormat="1">
      <c r="A46" s="372" t="s">
        <v>350</v>
      </c>
      <c r="B46" s="365"/>
      <c r="C46" s="365"/>
      <c r="D46" s="365"/>
      <c r="E46" s="365"/>
      <c r="F46" s="365"/>
      <c r="G46" s="366"/>
      <c r="L46"/>
    </row>
    <row r="47" spans="1:12" s="1" customFormat="1">
      <c r="A47" s="372" t="s">
        <v>352</v>
      </c>
      <c r="B47" s="365"/>
      <c r="C47" s="365"/>
      <c r="D47" s="365"/>
      <c r="E47" s="365"/>
      <c r="F47" s="365"/>
      <c r="G47" s="366"/>
      <c r="L47"/>
    </row>
    <row r="48" spans="1:12">
      <c r="A48" s="372"/>
      <c r="B48" s="365"/>
      <c r="C48" s="365"/>
      <c r="D48" s="365"/>
      <c r="E48" s="365"/>
      <c r="F48" s="365"/>
      <c r="G48" s="366"/>
    </row>
    <row r="49" spans="1:12" s="1" customFormat="1">
      <c r="A49" s="372" t="s">
        <v>354</v>
      </c>
      <c r="B49" s="365"/>
      <c r="C49" s="365"/>
      <c r="D49" s="365"/>
      <c r="E49" s="365"/>
      <c r="F49" s="365"/>
      <c r="G49" s="366"/>
      <c r="L49"/>
    </row>
    <row r="50" spans="1:12" s="94" customFormat="1">
      <c r="A50" s="372" t="s">
        <v>356</v>
      </c>
      <c r="B50" s="365"/>
      <c r="C50" s="365"/>
      <c r="D50" s="365"/>
      <c r="E50" s="365"/>
      <c r="F50" s="365"/>
      <c r="G50" s="366"/>
      <c r="L50" s="132"/>
    </row>
    <row r="51" spans="1:12" s="1" customFormat="1" ht="7.5" customHeight="1">
      <c r="A51" s="406"/>
      <c r="B51" s="368"/>
      <c r="C51" s="368"/>
      <c r="D51" s="368"/>
      <c r="E51" s="368"/>
      <c r="F51" s="368"/>
      <c r="G51" s="369"/>
      <c r="L51"/>
    </row>
    <row r="52" spans="1:12" s="82" customFormat="1" ht="21">
      <c r="A52" s="26" t="s">
        <v>31</v>
      </c>
      <c r="B52" s="76">
        <f>$B$1</f>
        <v>5</v>
      </c>
      <c r="C52" s="27" t="s">
        <v>39</v>
      </c>
      <c r="D52" s="28" t="str">
        <f>$E$1</f>
        <v>一日毎</v>
      </c>
      <c r="E52" s="520" t="str">
        <f>$B$2</f>
        <v>ブラッド・バス</v>
      </c>
      <c r="F52" s="521"/>
      <c r="G52" s="522"/>
      <c r="L52" s="81"/>
    </row>
    <row r="53" spans="1:12" s="1" customFormat="1">
      <c r="A53"/>
      <c r="B53"/>
      <c r="C53"/>
      <c r="D53"/>
      <c r="L53"/>
    </row>
    <row r="54" spans="1:12" s="1" customFormat="1">
      <c r="A54"/>
      <c r="B54"/>
      <c r="C54"/>
      <c r="D54"/>
      <c r="L54"/>
    </row>
    <row r="55" spans="1:12" s="1" customFormat="1">
      <c r="A55"/>
      <c r="B55"/>
      <c r="C55"/>
      <c r="D55"/>
      <c r="L55"/>
    </row>
  </sheetData>
  <mergeCells count="51">
    <mergeCell ref="A34:G34"/>
    <mergeCell ref="B20:B21"/>
    <mergeCell ref="A20:A22"/>
    <mergeCell ref="A23:G23"/>
    <mergeCell ref="A24:G24"/>
    <mergeCell ref="A25:G25"/>
    <mergeCell ref="A32:G32"/>
    <mergeCell ref="A33:G33"/>
    <mergeCell ref="A26:G26"/>
    <mergeCell ref="A27:G27"/>
    <mergeCell ref="A28:G28"/>
    <mergeCell ref="A29:G29"/>
    <mergeCell ref="A30:G30"/>
    <mergeCell ref="A31:G31"/>
    <mergeCell ref="A42:G42"/>
    <mergeCell ref="A35:G35"/>
    <mergeCell ref="A36:G36"/>
    <mergeCell ref="A37:G37"/>
    <mergeCell ref="A38:G38"/>
    <mergeCell ref="A39:G39"/>
    <mergeCell ref="A40:G40"/>
    <mergeCell ref="A41:G41"/>
    <mergeCell ref="A48:G48"/>
    <mergeCell ref="A51:G51"/>
    <mergeCell ref="E52:G52"/>
    <mergeCell ref="A43:G43"/>
    <mergeCell ref="A44:G44"/>
    <mergeCell ref="A46:G46"/>
    <mergeCell ref="A49:G49"/>
    <mergeCell ref="A47:G47"/>
    <mergeCell ref="A45:G45"/>
    <mergeCell ref="A50:G50"/>
    <mergeCell ref="J10:K10"/>
    <mergeCell ref="J12:K12"/>
    <mergeCell ref="B11:G11"/>
    <mergeCell ref="B12:G12"/>
    <mergeCell ref="B17:B18"/>
    <mergeCell ref="A16:B16"/>
    <mergeCell ref="A17:A19"/>
    <mergeCell ref="A14:C15"/>
    <mergeCell ref="E14:G14"/>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xm:sqref>
        </x14:dataValidation>
        <x14:dataValidation type="list" allowBlank="1" showInputMessage="1" showErrorMessage="1">
          <x14:formula1>
            <xm:f>基本!$A$5:$A$10</xm:f>
          </x14:formula1>
          <xm:sqref>I11 I9</xm:sqref>
        </x14:dataValidation>
        <x14:dataValidation type="list" allowBlank="1" showInputMessage="1" showErrorMessage="1">
          <x14:formula1>
            <xm:f>基本!$A$14:$A$17</xm:f>
          </x14:formula1>
          <xm:sqref>K9</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4"/>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22" t="s">
        <v>31</v>
      </c>
      <c r="B1" s="507">
        <v>9</v>
      </c>
      <c r="C1" s="508"/>
      <c r="D1" s="23" t="s">
        <v>39</v>
      </c>
      <c r="E1" s="24" t="s">
        <v>57</v>
      </c>
      <c r="F1" s="509"/>
      <c r="G1" s="510"/>
      <c r="H1" s="15" t="s">
        <v>54</v>
      </c>
    </row>
    <row r="2" spans="1:13" ht="24.75" customHeight="1">
      <c r="A2" s="23" t="s">
        <v>0</v>
      </c>
      <c r="B2" s="511" t="s">
        <v>202</v>
      </c>
      <c r="C2" s="511"/>
      <c r="D2" s="511"/>
      <c r="E2" s="511"/>
      <c r="F2" s="511"/>
      <c r="G2" s="511"/>
      <c r="H2" s="15" t="s">
        <v>55</v>
      </c>
    </row>
    <row r="3" spans="1:13" ht="19.5" customHeight="1">
      <c r="A3" s="45" t="s">
        <v>47</v>
      </c>
      <c r="B3" s="1"/>
      <c r="C3" s="1"/>
      <c r="D3" s="1"/>
      <c r="I3" s="15"/>
    </row>
    <row r="4" spans="1:13">
      <c r="A4" s="16" t="s">
        <v>45</v>
      </c>
      <c r="B4" s="397" t="s">
        <v>208</v>
      </c>
      <c r="C4" s="398"/>
      <c r="D4" s="398"/>
      <c r="E4" s="398"/>
      <c r="F4" s="398"/>
      <c r="G4" s="399"/>
    </row>
    <row r="5" spans="1:13">
      <c r="A5" s="17" t="s">
        <v>38</v>
      </c>
      <c r="B5" s="397" t="s">
        <v>265</v>
      </c>
      <c r="C5" s="398"/>
      <c r="D5" s="398"/>
      <c r="E5" s="398"/>
      <c r="F5" s="398"/>
      <c r="G5" s="399"/>
    </row>
    <row r="6" spans="1:13">
      <c r="A6" s="17" t="s">
        <v>6</v>
      </c>
      <c r="B6" s="397" t="s">
        <v>438</v>
      </c>
      <c r="C6" s="398"/>
      <c r="D6" s="399"/>
      <c r="E6" s="149" t="s">
        <v>42</v>
      </c>
      <c r="F6" s="153" t="str">
        <f>$I$6</f>
        <v>近接</v>
      </c>
      <c r="G6" s="126">
        <f>$J$6</f>
        <v>1</v>
      </c>
      <c r="H6" s="74" t="s">
        <v>42</v>
      </c>
      <c r="I6" s="142" t="s">
        <v>70</v>
      </c>
      <c r="J6" s="75">
        <v>1</v>
      </c>
    </row>
    <row r="7" spans="1:13">
      <c r="A7" s="47" t="s">
        <v>5</v>
      </c>
      <c r="B7" s="397" t="s">
        <v>114</v>
      </c>
      <c r="C7" s="398"/>
      <c r="D7" s="399"/>
      <c r="E7" s="149" t="s">
        <v>67</v>
      </c>
      <c r="F7" s="148" t="str">
        <f>IF($I$7 = 0,"", $I$7)</f>
        <v/>
      </c>
      <c r="G7" s="148" t="str">
        <f>IF($J$7 = 0,"", $J$7)</f>
        <v/>
      </c>
      <c r="H7" s="74" t="s">
        <v>67</v>
      </c>
      <c r="I7" s="121"/>
      <c r="J7" s="75">
        <v>0</v>
      </c>
    </row>
    <row r="8" spans="1:13">
      <c r="A8" s="47" t="s">
        <v>209</v>
      </c>
      <c r="B8" s="397" t="s">
        <v>211</v>
      </c>
      <c r="C8" s="398"/>
      <c r="D8" s="398"/>
      <c r="E8" s="398"/>
      <c r="F8" s="398"/>
      <c r="G8" s="399"/>
      <c r="H8" s="74" t="s">
        <v>87</v>
      </c>
      <c r="I8" s="75" t="s">
        <v>124</v>
      </c>
      <c r="J8" s="15" t="s">
        <v>63</v>
      </c>
    </row>
    <row r="9" spans="1:13">
      <c r="A9" s="105" t="s">
        <v>62</v>
      </c>
      <c r="B9" s="485" t="s">
        <v>273</v>
      </c>
      <c r="C9" s="486"/>
      <c r="D9" s="486"/>
      <c r="E9" s="486"/>
      <c r="F9" s="486"/>
      <c r="G9" s="487"/>
      <c r="H9" s="74" t="s">
        <v>50</v>
      </c>
      <c r="I9" s="75" t="s">
        <v>13</v>
      </c>
      <c r="J9" s="73">
        <f>IF($I$9 = "筋力",基本!$C$5,IF($I$9 = "耐久力",基本!$C$6,IF($I$9 = "敏捷力",基本!$C$7,IF($I$9 = "知力",基本!$C$8,IF($I$9 = "判断力",基本!$C$9,IF($I$9 = "魅力",基本!$C$10,""))))))</f>
        <v>6</v>
      </c>
      <c r="K9" s="75" t="s">
        <v>19</v>
      </c>
    </row>
    <row r="10" spans="1:13">
      <c r="A10" s="106"/>
      <c r="B10" s="367" t="s">
        <v>210</v>
      </c>
      <c r="C10" s="368"/>
      <c r="D10" s="368"/>
      <c r="E10" s="368"/>
      <c r="F10" s="368"/>
      <c r="G10" s="369"/>
      <c r="H10" s="74" t="s">
        <v>59</v>
      </c>
      <c r="I10" s="75">
        <v>0</v>
      </c>
      <c r="J10" s="296" t="s">
        <v>52</v>
      </c>
      <c r="K10" s="297"/>
      <c r="L10" s="73">
        <f>IF($I$8=基本!$F$4,基本!$O$7,IF($I$8=基本!$F$13,基本!$O$16,IF($I$8=基本!$F$22,基本!$O$25,IF($I$8=基本!$F$31,基本!$O$34,IF($I$8=基本!$F$40,基本!$O$43,0)))))</f>
        <v>17</v>
      </c>
    </row>
    <row r="11" spans="1:13">
      <c r="A11" s="105" t="s">
        <v>7</v>
      </c>
      <c r="B11" s="397" t="s">
        <v>248</v>
      </c>
      <c r="C11" s="398"/>
      <c r="D11" s="398"/>
      <c r="E11" s="398"/>
      <c r="F11" s="398"/>
      <c r="G11" s="399"/>
      <c r="H11" s="43" t="s">
        <v>51</v>
      </c>
      <c r="I11" s="75" t="s">
        <v>13</v>
      </c>
      <c r="J11" s="42">
        <f>IF($I$9 = "筋力",基本!$C$5,IF($I$11 = "耐久力",基本!$C$6,IF($I$11 = "敏捷力",基本!$C$7,IF($I$11 = "知力",基本!$C$8,IF($I$11 = "判断力",基本!$C$9,IF($I$11 = "魅力",基本!$C$10,""))))))</f>
        <v>6</v>
      </c>
      <c r="L11" s="1"/>
    </row>
    <row r="12" spans="1:13">
      <c r="A12" s="105" t="s">
        <v>8</v>
      </c>
      <c r="B12" s="400" t="s">
        <v>214</v>
      </c>
      <c r="C12" s="401"/>
      <c r="D12" s="401"/>
      <c r="E12" s="401"/>
      <c r="F12" s="401"/>
      <c r="G12" s="402"/>
      <c r="H12" s="74" t="s">
        <v>60</v>
      </c>
      <c r="I12" s="75">
        <v>0</v>
      </c>
      <c r="J12" s="296" t="s">
        <v>53</v>
      </c>
      <c r="K12" s="297"/>
      <c r="L12" s="73">
        <f>IF($I$8=基本!$F$4,基本!$O$9,IF($I$8=基本!$F$13,基本!$O$18,IF($I$8=基本!$F$22,基本!$O$27,IF($I$8=基本!$F$31,基本!$O$36,IF($I$8=基本!$F$40,基本!$O$45,0)))))</f>
        <v>6</v>
      </c>
    </row>
    <row r="13" spans="1:13">
      <c r="A13" s="103" t="s">
        <v>58</v>
      </c>
      <c r="B13" s="430" t="s">
        <v>213</v>
      </c>
      <c r="C13" s="431"/>
      <c r="D13" s="431"/>
      <c r="E13" s="431"/>
      <c r="F13" s="431"/>
      <c r="G13" s="432"/>
      <c r="H13" s="44" t="s">
        <v>88</v>
      </c>
      <c r="I13" s="75">
        <v>2</v>
      </c>
      <c r="J13" s="74" t="s">
        <v>43</v>
      </c>
      <c r="K13" s="75">
        <v>4</v>
      </c>
      <c r="L13" s="137">
        <v>6</v>
      </c>
      <c r="M13" s="147" t="s">
        <v>166</v>
      </c>
    </row>
    <row r="14" spans="1:13">
      <c r="A14" s="104" t="s">
        <v>184</v>
      </c>
      <c r="B14" s="473" t="s">
        <v>212</v>
      </c>
      <c r="C14" s="474"/>
      <c r="D14" s="474"/>
      <c r="E14" s="474"/>
      <c r="F14" s="474"/>
      <c r="G14" s="475"/>
      <c r="H14" s="74" t="s">
        <v>49</v>
      </c>
      <c r="I14" s="75">
        <v>4</v>
      </c>
      <c r="J14" s="74" t="s">
        <v>43</v>
      </c>
      <c r="K14" s="75">
        <v>12</v>
      </c>
    </row>
    <row r="15" spans="1:13">
      <c r="A15" s="104" t="s">
        <v>511</v>
      </c>
      <c r="B15" s="364" t="s">
        <v>512</v>
      </c>
      <c r="C15" s="365"/>
      <c r="D15" s="365"/>
      <c r="E15" s="365"/>
      <c r="F15" s="365"/>
      <c r="G15" s="366"/>
      <c r="H15" s="74" t="s">
        <v>61</v>
      </c>
      <c r="I15" s="75"/>
    </row>
    <row r="16" spans="1:13">
      <c r="A16" s="19"/>
      <c r="B16" s="364" t="s">
        <v>513</v>
      </c>
      <c r="C16" s="365"/>
      <c r="D16" s="365"/>
      <c r="E16" s="365"/>
      <c r="F16" s="365"/>
      <c r="G16" s="366"/>
      <c r="H16" s="77" t="s">
        <v>130</v>
      </c>
      <c r="I16" s="119">
        <f>基本!$B$21</f>
        <v>3</v>
      </c>
      <c r="J16" s="77" t="s">
        <v>43</v>
      </c>
      <c r="K16" s="119">
        <f>基本!$D$21</f>
        <v>8</v>
      </c>
      <c r="L16" s="132"/>
    </row>
    <row r="17" spans="1:11">
      <c r="A17" s="21"/>
      <c r="B17" s="367" t="s">
        <v>514</v>
      </c>
      <c r="C17" s="368"/>
      <c r="D17" s="368"/>
      <c r="E17" s="368"/>
      <c r="F17" s="368"/>
      <c r="G17" s="369"/>
      <c r="H17" s="138" t="s">
        <v>167</v>
      </c>
      <c r="I17" s="119">
        <f>基本!$B$23</f>
        <v>1</v>
      </c>
      <c r="J17" s="139" t="s">
        <v>43</v>
      </c>
      <c r="K17" s="119">
        <f>基本!$D$23</f>
        <v>10</v>
      </c>
    </row>
    <row r="18" spans="1:11" ht="14.25" thickBot="1">
      <c r="A18" s="14" t="s">
        <v>46</v>
      </c>
      <c r="E18" s="3"/>
    </row>
    <row r="19" spans="1:11" s="132" customFormat="1" ht="13.5" customHeight="1">
      <c r="A19" s="514" t="str">
        <f t="shared" ref="A19" si="0">$B$2</f>
        <v>プロフィット・フロム・ウィークネス</v>
      </c>
      <c r="B19" s="515"/>
      <c r="C19" s="516"/>
      <c r="D19" s="182" t="s">
        <v>244</v>
      </c>
      <c r="E19" s="385" t="s">
        <v>243</v>
      </c>
      <c r="F19" s="387"/>
      <c r="H19"/>
      <c r="I19"/>
      <c r="J19"/>
      <c r="K19"/>
    </row>
    <row r="20" spans="1:11" s="132" customFormat="1" ht="18.75" customHeight="1" thickBot="1">
      <c r="A20" s="517"/>
      <c r="B20" s="518"/>
      <c r="C20" s="519"/>
      <c r="D20" s="163" t="s">
        <v>240</v>
      </c>
      <c r="E20" s="164" t="s">
        <v>239</v>
      </c>
      <c r="F20" s="183" t="s">
        <v>241</v>
      </c>
      <c r="H20"/>
      <c r="I20"/>
      <c r="J20"/>
      <c r="K20"/>
    </row>
    <row r="21" spans="1:11" ht="23.25" customHeight="1" thickBot="1">
      <c r="A21" s="428" t="s">
        <v>41</v>
      </c>
      <c r="B21" s="429"/>
      <c r="C21" s="184" t="str">
        <f>$K$9</f>
        <v>反応</v>
      </c>
      <c r="D21" s="177" t="str">
        <f>$J$9+$L$10+$I$10 &amp; "+1d20" &amp; IF($I$7="爆発"," ★",IF($I$7="噴射"," ★","")) &amp;"☆"</f>
        <v>23+1d20☆</v>
      </c>
      <c r="E21" s="178" t="str">
        <f>$J$9+$L$10+2+$I$10 &amp; "+1d20" &amp; IF($I$7="爆発"," ★",IF($I$7="噴射"," ★",""))&amp;"☆"</f>
        <v>25+1d20☆</v>
      </c>
      <c r="F21" s="179" t="str">
        <f>$J$9+$L$10+2+$I$10 &amp; "+1d20" &amp; IF($I$7="爆発"," ★",IF($I$7="噴射"," ★",""))&amp;"☆"</f>
        <v>25+1d20☆</v>
      </c>
      <c r="G21"/>
      <c r="H21"/>
      <c r="I21"/>
      <c r="J21"/>
      <c r="K21"/>
    </row>
    <row r="22" spans="1:11" ht="23.25" customHeight="1">
      <c r="A22" s="388" t="s">
        <v>1</v>
      </c>
      <c r="B22" s="512" t="s">
        <v>3</v>
      </c>
      <c r="C22" s="198" t="s">
        <v>58</v>
      </c>
      <c r="D22" s="173" t="str">
        <f>"( "&amp;$J$11+$L$12+$I$12 &amp; "+" &amp; $I$13 &amp; "d" &amp; $K$13 &amp; " ) / 2"</f>
        <v>( 12+2d4 ) / 2</v>
      </c>
      <c r="E22" s="174" t="str">
        <f>"( "&amp;$J$11+$L$12+$I$12+2 &amp; "+" &amp; $I$13 &amp; "d" &amp; $K$13 &amp; " ) / 2"</f>
        <v>( 14+2d4 ) / 2</v>
      </c>
      <c r="F22" s="175" t="str">
        <f>"( "&amp;$J$11+$L$12+$I$12+2 &amp; "+" &amp; $I$13 &amp; "d" &amp; $K$13 &amp; " ) / 2"</f>
        <v>( 14+2d4 ) / 2</v>
      </c>
      <c r="G22"/>
      <c r="I22"/>
      <c r="J22"/>
      <c r="K22"/>
    </row>
    <row r="23" spans="1:11" ht="23.25" customHeight="1">
      <c r="A23" s="388"/>
      <c r="B23" s="513"/>
      <c r="C23" s="70" t="str">
        <f>IF($I$15 = 0,"", $I$15)</f>
        <v/>
      </c>
      <c r="D23" s="71" t="str">
        <f>$J$11+$L$12+$I$12 &amp; "+" &amp; $I$13 &amp; "d" &amp; $K$13</f>
        <v>12+2d4</v>
      </c>
      <c r="E23" s="152" t="str">
        <f>$J$11+$L$12+$I$12+2 &amp; "+" &amp; $I$13 &amp; "d" &amp; $K$13</f>
        <v>14+2d4</v>
      </c>
      <c r="F23" s="72" t="str">
        <f>$J$11+$L$12+$I$12+2 &amp; "+" &amp; $I$13 &amp; "d" &amp; $K$13 &amp; "+" &amp; $I$16 &amp; "d" &amp; $K$16</f>
        <v>14+2d4+3d8</v>
      </c>
      <c r="G23"/>
      <c r="I23"/>
      <c r="J23"/>
      <c r="K23"/>
    </row>
    <row r="24" spans="1:11" ht="23.25" customHeight="1" thickBot="1">
      <c r="A24" s="389"/>
      <c r="B24" s="92" t="s">
        <v>2</v>
      </c>
      <c r="C24" s="185" t="str">
        <f>IF($I$15 = 0,"", $I$15)</f>
        <v/>
      </c>
      <c r="D24" s="55" t="str">
        <f>$J$11+$L$12+$I$12+($I$13*$K$13) &amp; IF($I$14 = 0,"","+" &amp; $I$14 &amp; "d" &amp; $K$14) &amp; IF($I$7="爆発","",IF($I$7="噴射","",""))&amp; IF($I$17 = 0,"","+" &amp; $I$17 &amp; "d" &amp; $K$17) &amp;"★"</f>
        <v>20+4d12+1d10★</v>
      </c>
      <c r="E24" s="151" t="str">
        <f>$J$11+$L$12+$I$12+2+($I$13*$K$13) &amp; IF($I$14 = 0,"","+" &amp; $I$14 &amp; "d" &amp; $K$14) &amp; IF($I$7="爆発","",IF($I$7="噴射","","")) &amp; ""&amp; IF($I$17 = 0,"","+" &amp; $I$17 &amp; "d" &amp; $K$17) &amp;"★"</f>
        <v>22+4d12+1d10★</v>
      </c>
      <c r="F24" s="89" t="str">
        <f>$J$11+$L$12+$I$12+2+($I$13*$K$13)+($I$16*$K$16) &amp; IF($I$14 = 0,"","+" &amp; $I$14 &amp; "d" &amp; $K$14) &amp; IF($I$7="爆発","",IF($I$7="噴射","","")) &amp; ""&amp; IF($I$17 = 0,"","+" &amp; $I$17 &amp; "d" &amp; $K$17) &amp;"★"</f>
        <v>46+4d12+1d10★</v>
      </c>
      <c r="G24"/>
      <c r="I24"/>
      <c r="J24"/>
      <c r="K24"/>
    </row>
    <row r="25" spans="1:11" s="132" customFormat="1" ht="23.25" customHeight="1">
      <c r="A25" s="527" t="str">
        <f>汎12!$B$2</f>
        <v>メディティション・オヴ・ザ・ブレード</v>
      </c>
      <c r="B25" s="526" t="s">
        <v>3</v>
      </c>
      <c r="C25" s="54" t="s">
        <v>58</v>
      </c>
      <c r="D25" s="90" t="str">
        <f>"( "&amp;$J$11+$L$12+$I$12 &amp; "+" &amp; $I$13 &amp; "d" &amp; $L$13 &amp; " ) / 2"</f>
        <v>( 12+2d6 ) / 2</v>
      </c>
      <c r="E25" s="150" t="str">
        <f>"( "&amp;$J$11+$L$12+$I$12+2 &amp; "+" &amp; $I$13 &amp; "d" &amp; $L$13 &amp; " ) / 2"</f>
        <v>( 14+2d6 ) / 2</v>
      </c>
      <c r="F25" s="91" t="str">
        <f>"( "&amp;$J$11+$L$12+$I$12+2 &amp; "+" &amp; $I$13 &amp; "d" &amp; $L$13 &amp; " ) / 2"</f>
        <v>( 14+2d6 ) / 2</v>
      </c>
      <c r="H25" s="94"/>
    </row>
    <row r="26" spans="1:11" s="132" customFormat="1" ht="23.25" customHeight="1">
      <c r="A26" s="528"/>
      <c r="B26" s="513"/>
      <c r="C26" s="70" t="str">
        <f>IF($I$15 = 0,"", $I$15)</f>
        <v/>
      </c>
      <c r="D26" s="71" t="str">
        <f>$J$11+$L$12+$I$12 &amp; "+" &amp; $I$13 &amp; "d" &amp; $L$13</f>
        <v>12+2d6</v>
      </c>
      <c r="E26" s="152" t="str">
        <f>$J$11+$L$12+$I$12+2 &amp; "+" &amp; $I$13 &amp; "d" &amp; $L$13</f>
        <v>14+2d6</v>
      </c>
      <c r="F26" s="72" t="str">
        <f>$J$11+$L$12+$I$12+2 &amp; "+" &amp; $I$13 &amp; "d" &amp; $L$13 &amp; "+" &amp; $I$16 &amp; "d" &amp; $K$16</f>
        <v>14+2d6+3d8</v>
      </c>
      <c r="H26" s="94"/>
    </row>
    <row r="27" spans="1:11" s="132" customFormat="1" ht="23.25" customHeight="1" thickBot="1">
      <c r="A27" s="529"/>
      <c r="B27" s="92" t="s">
        <v>2</v>
      </c>
      <c r="C27" s="56" t="str">
        <f>IF($I$15 = 0,"", $I$15)</f>
        <v/>
      </c>
      <c r="D27" s="88" t="str">
        <f>$J$11+$L$12+$I$12+($I$13*$L$13) &amp; IF($I$14 = 0,"","+" &amp; $I$14 &amp; "d" &amp; $K$14) &amp; IF($I$7="爆発","",IF($I$7="噴射","","")) &amp; ""&amp; IF($I$17 = 0,"","+" &amp; $I$17 &amp; "d" &amp; $K$17) &amp;"★"</f>
        <v>24+4d12+1d10★</v>
      </c>
      <c r="E27" s="151" t="str">
        <f>$J$11+$L$12+$I$12+2+($I$13*$L$13) &amp; IF($I$14 = 0,"","+" &amp; $I$14 &amp; "d" &amp; $K$14) &amp; IF($I$7="爆発","",IF($I$7="噴射","","")) &amp; ""&amp; IF($I$17 = 0,"","+" &amp; $I$17 &amp; "d" &amp; $K$17) &amp;"★"</f>
        <v>26+4d12+1d10★</v>
      </c>
      <c r="F27" s="89" t="str">
        <f>$J$11+$L$12+$I$12+2+($I$13*$L$13)+($I$16*$K$16) &amp; IF($I$14 = 0,"","+" &amp; $I$14 &amp; "d" &amp; $K$14) &amp; IF($I$7="爆発","",IF($I$7="噴射","","")) &amp; ""&amp; IF($I$17 = 0,"","+" &amp; $I$17 &amp; "d" &amp; $K$17) &amp;"★"</f>
        <v>50+4d12+1d10★</v>
      </c>
      <c r="H27" s="94"/>
    </row>
    <row r="28" spans="1:11" s="132" customFormat="1" ht="19.5" customHeight="1">
      <c r="A28" s="360" t="s">
        <v>170</v>
      </c>
      <c r="B28" s="360"/>
      <c r="C28" s="360"/>
      <c r="D28" s="360"/>
      <c r="E28" s="360"/>
      <c r="F28" s="360"/>
      <c r="G28" s="360"/>
      <c r="H28" s="94"/>
    </row>
    <row r="29" spans="1:11" s="132" customFormat="1" ht="13.5" customHeight="1">
      <c r="A29" s="361" t="s">
        <v>173</v>
      </c>
      <c r="B29" s="361"/>
      <c r="C29" s="361"/>
      <c r="D29" s="361"/>
      <c r="E29" s="361"/>
      <c r="F29" s="361"/>
      <c r="G29" s="361"/>
      <c r="H29" s="94"/>
      <c r="I29" s="94"/>
      <c r="J29" s="94"/>
      <c r="K29" s="94"/>
    </row>
    <row r="30" spans="1:11" s="132" customFormat="1" ht="13.5" customHeight="1">
      <c r="A30" s="362" t="s">
        <v>174</v>
      </c>
      <c r="B30" s="362"/>
      <c r="C30" s="362"/>
      <c r="D30" s="362"/>
      <c r="E30" s="362"/>
      <c r="F30" s="362"/>
      <c r="G30" s="362"/>
      <c r="H30" s="94"/>
    </row>
    <row r="31" spans="1:11" s="132" customFormat="1" ht="19.5" customHeight="1">
      <c r="A31" s="360" t="s">
        <v>498</v>
      </c>
      <c r="B31" s="360"/>
      <c r="C31" s="360"/>
      <c r="D31" s="360"/>
      <c r="E31" s="360"/>
      <c r="F31" s="360"/>
      <c r="G31" s="360"/>
      <c r="H31" s="94"/>
    </row>
    <row r="32" spans="1:11" s="132" customFormat="1" ht="13.5" customHeight="1">
      <c r="A32" s="361" t="s">
        <v>496</v>
      </c>
      <c r="B32" s="361"/>
      <c r="C32" s="361"/>
      <c r="D32" s="361"/>
      <c r="E32" s="361"/>
      <c r="F32" s="361"/>
      <c r="G32" s="361"/>
      <c r="H32" s="94"/>
      <c r="I32" s="94"/>
      <c r="J32" s="94"/>
      <c r="K32" s="94"/>
    </row>
    <row r="33" spans="1:12" s="132" customFormat="1" ht="13.5" customHeight="1">
      <c r="A33" s="363" t="s">
        <v>497</v>
      </c>
      <c r="B33" s="363"/>
      <c r="C33" s="363"/>
      <c r="D33" s="363"/>
      <c r="E33" s="363"/>
      <c r="F33" s="363"/>
      <c r="G33" s="363"/>
      <c r="H33" s="94"/>
    </row>
    <row r="34" spans="1:12" s="132" customFormat="1" ht="19.5" customHeight="1">
      <c r="A34" s="360" t="s">
        <v>515</v>
      </c>
      <c r="B34" s="360"/>
      <c r="C34" s="360"/>
      <c r="D34" s="360"/>
      <c r="E34" s="360"/>
      <c r="F34" s="360"/>
      <c r="G34" s="360"/>
      <c r="H34" s="94"/>
    </row>
    <row r="35" spans="1:12" s="132" customFormat="1" ht="13.5" customHeight="1">
      <c r="A35" s="361" t="s">
        <v>200</v>
      </c>
      <c r="B35" s="361"/>
      <c r="C35" s="361"/>
      <c r="D35" s="361"/>
      <c r="E35" s="361"/>
      <c r="F35" s="361"/>
      <c r="G35" s="361"/>
      <c r="H35" s="94"/>
      <c r="I35" s="94"/>
      <c r="J35" s="94"/>
      <c r="K35" s="94"/>
    </row>
    <row r="36" spans="1:12" s="132" customFormat="1" ht="13.5" customHeight="1">
      <c r="A36" s="362" t="s">
        <v>175</v>
      </c>
      <c r="B36" s="362"/>
      <c r="C36" s="362"/>
      <c r="D36" s="362"/>
      <c r="E36" s="362"/>
      <c r="F36" s="362"/>
      <c r="G36" s="362"/>
      <c r="H36" s="94"/>
    </row>
    <row r="37" spans="1:12" ht="8.25" customHeight="1">
      <c r="A37" s="368"/>
      <c r="B37" s="368"/>
      <c r="C37" s="368"/>
      <c r="D37" s="368"/>
      <c r="E37" s="368"/>
      <c r="F37" s="368"/>
      <c r="G37" s="368"/>
    </row>
    <row r="38" spans="1:12">
      <c r="A38" s="416" t="s">
        <v>48</v>
      </c>
      <c r="B38" s="417"/>
      <c r="C38" s="417"/>
      <c r="D38" s="417"/>
      <c r="E38" s="417"/>
      <c r="F38" s="417"/>
      <c r="G38" s="418"/>
    </row>
    <row r="39" spans="1:12" s="132" customFormat="1" ht="18" customHeight="1">
      <c r="A39" s="441" t="s">
        <v>268</v>
      </c>
      <c r="B39" s="442"/>
      <c r="C39" s="442"/>
      <c r="D39" s="442"/>
      <c r="E39" s="442"/>
      <c r="F39" s="442"/>
      <c r="G39" s="443"/>
      <c r="H39" s="94"/>
      <c r="I39" s="94"/>
      <c r="J39" s="94"/>
      <c r="K39" s="94"/>
    </row>
    <row r="40" spans="1:12" s="132" customFormat="1" ht="21" customHeight="1">
      <c r="A40" s="532" t="s">
        <v>517</v>
      </c>
      <c r="B40" s="424"/>
      <c r="C40" s="424"/>
      <c r="D40" s="424"/>
      <c r="E40" s="424"/>
      <c r="F40" s="424"/>
      <c r="G40" s="425"/>
      <c r="H40" s="94"/>
      <c r="I40" s="94"/>
      <c r="J40" s="94"/>
      <c r="K40" s="94"/>
    </row>
    <row r="41" spans="1:12" ht="6.75" customHeight="1">
      <c r="A41" s="530"/>
      <c r="B41" s="360"/>
      <c r="C41" s="360"/>
      <c r="D41" s="360"/>
      <c r="E41" s="360"/>
      <c r="F41" s="360"/>
      <c r="G41" s="531"/>
    </row>
    <row r="42" spans="1:12">
      <c r="A42" s="372" t="s">
        <v>270</v>
      </c>
      <c r="B42" s="365"/>
      <c r="C42" s="365"/>
      <c r="D42" s="365"/>
      <c r="E42" s="365"/>
      <c r="F42" s="365"/>
      <c r="G42" s="366"/>
    </row>
    <row r="43" spans="1:12" s="1" customFormat="1">
      <c r="A43" s="372" t="s">
        <v>272</v>
      </c>
      <c r="B43" s="365"/>
      <c r="C43" s="365"/>
      <c r="D43" s="365"/>
      <c r="E43" s="365"/>
      <c r="F43" s="365"/>
      <c r="G43" s="366"/>
      <c r="L43"/>
    </row>
    <row r="44" spans="1:12" s="94" customFormat="1" ht="6.75" customHeight="1">
      <c r="A44" s="205"/>
      <c r="B44" s="203"/>
      <c r="C44" s="203"/>
      <c r="D44" s="203"/>
      <c r="E44" s="203"/>
      <c r="F44" s="203"/>
      <c r="G44" s="204"/>
      <c r="L44" s="132"/>
    </row>
    <row r="45" spans="1:12" s="1" customFormat="1">
      <c r="A45" s="372" t="s">
        <v>271</v>
      </c>
      <c r="B45" s="365"/>
      <c r="C45" s="365"/>
      <c r="D45" s="365"/>
      <c r="E45" s="365"/>
      <c r="F45" s="365"/>
      <c r="G45" s="366"/>
      <c r="L45"/>
    </row>
    <row r="46" spans="1:12" s="1" customFormat="1">
      <c r="A46" s="372" t="s">
        <v>275</v>
      </c>
      <c r="B46" s="365"/>
      <c r="C46" s="365"/>
      <c r="D46" s="365"/>
      <c r="E46" s="365"/>
      <c r="F46" s="365"/>
      <c r="G46" s="366"/>
      <c r="L46"/>
    </row>
    <row r="47" spans="1:12" s="1" customFormat="1" ht="6.75" customHeight="1">
      <c r="A47" s="372"/>
      <c r="B47" s="365"/>
      <c r="C47" s="365"/>
      <c r="D47" s="365"/>
      <c r="E47" s="365"/>
      <c r="F47" s="365"/>
      <c r="G47" s="366"/>
      <c r="L47"/>
    </row>
    <row r="48" spans="1:12" s="1" customFormat="1">
      <c r="A48" s="372" t="s">
        <v>274</v>
      </c>
      <c r="B48" s="365"/>
      <c r="C48" s="365"/>
      <c r="D48" s="365"/>
      <c r="E48" s="365"/>
      <c r="F48" s="365"/>
      <c r="G48" s="366"/>
      <c r="L48"/>
    </row>
    <row r="49" spans="1:12">
      <c r="A49" s="372" t="s">
        <v>276</v>
      </c>
      <c r="B49" s="365"/>
      <c r="C49" s="365"/>
      <c r="D49" s="365"/>
      <c r="E49" s="365"/>
      <c r="F49" s="365"/>
      <c r="G49" s="366"/>
    </row>
    <row r="50" spans="1:12" s="132" customFormat="1" ht="9.75" customHeight="1">
      <c r="A50" s="213"/>
      <c r="B50" s="214"/>
      <c r="C50" s="214"/>
      <c r="D50" s="214"/>
      <c r="E50" s="214"/>
      <c r="F50" s="214"/>
      <c r="G50" s="215"/>
      <c r="H50" s="94"/>
      <c r="I50" s="94"/>
      <c r="J50" s="94"/>
      <c r="K50" s="94"/>
    </row>
    <row r="51" spans="1:12" s="132" customFormat="1" ht="13.5" customHeight="1">
      <c r="A51" s="403" t="s">
        <v>285</v>
      </c>
      <c r="B51" s="404"/>
      <c r="C51" s="404"/>
      <c r="D51" s="404"/>
      <c r="E51" s="404"/>
      <c r="F51" s="404"/>
      <c r="G51" s="405"/>
      <c r="H51" s="94"/>
      <c r="I51" s="94"/>
      <c r="J51" s="94"/>
      <c r="K51" s="94"/>
    </row>
    <row r="52" spans="1:12" s="132" customFormat="1" ht="18" customHeight="1">
      <c r="A52" s="419" t="s">
        <v>304</v>
      </c>
      <c r="B52" s="414"/>
      <c r="C52" s="414"/>
      <c r="D52" s="414"/>
      <c r="E52" s="414"/>
      <c r="F52" s="414"/>
      <c r="G52" s="415"/>
      <c r="H52" s="94"/>
      <c r="I52" s="94"/>
      <c r="J52" s="94"/>
      <c r="K52" s="94"/>
    </row>
    <row r="53" spans="1:12" s="1" customFormat="1" ht="6.75" customHeight="1">
      <c r="A53" s="372"/>
      <c r="B53" s="365"/>
      <c r="C53" s="365"/>
      <c r="D53" s="365"/>
      <c r="E53" s="365"/>
      <c r="F53" s="365"/>
      <c r="G53" s="366"/>
      <c r="L53"/>
    </row>
    <row r="54" spans="1:12" s="1" customFormat="1" ht="21">
      <c r="A54" s="26" t="s">
        <v>31</v>
      </c>
      <c r="B54" s="76">
        <f>$B$1</f>
        <v>9</v>
      </c>
      <c r="C54" s="27" t="s">
        <v>39</v>
      </c>
      <c r="D54" s="28" t="str">
        <f>$E$1</f>
        <v>一日毎</v>
      </c>
      <c r="E54" s="520" t="str">
        <f>$B$2</f>
        <v>プロフィット・フロム・ウィークネス</v>
      </c>
      <c r="F54" s="521"/>
      <c r="G54" s="522"/>
      <c r="L54"/>
    </row>
  </sheetData>
  <mergeCells count="51">
    <mergeCell ref="A36:G36"/>
    <mergeCell ref="B25:B26"/>
    <mergeCell ref="A25:A27"/>
    <mergeCell ref="A28:G28"/>
    <mergeCell ref="A29:G29"/>
    <mergeCell ref="A30:G30"/>
    <mergeCell ref="A34:G34"/>
    <mergeCell ref="A35:G35"/>
    <mergeCell ref="A31:G31"/>
    <mergeCell ref="A32:G32"/>
    <mergeCell ref="A33:G33"/>
    <mergeCell ref="E54:G54"/>
    <mergeCell ref="A49:G49"/>
    <mergeCell ref="A53:G53"/>
    <mergeCell ref="A48:G48"/>
    <mergeCell ref="A37:G37"/>
    <mergeCell ref="A38:G38"/>
    <mergeCell ref="A41:G41"/>
    <mergeCell ref="A42:G42"/>
    <mergeCell ref="A43:G43"/>
    <mergeCell ref="A45:G45"/>
    <mergeCell ref="A46:G46"/>
    <mergeCell ref="A47:G47"/>
    <mergeCell ref="A39:G39"/>
    <mergeCell ref="A40:G40"/>
    <mergeCell ref="A51:G51"/>
    <mergeCell ref="A52:G52"/>
    <mergeCell ref="J10:K10"/>
    <mergeCell ref="B12:G12"/>
    <mergeCell ref="J12:K12"/>
    <mergeCell ref="B13:G13"/>
    <mergeCell ref="B14:G14"/>
    <mergeCell ref="B11:G11"/>
    <mergeCell ref="B15:G15"/>
    <mergeCell ref="B16:G16"/>
    <mergeCell ref="B17:G17"/>
    <mergeCell ref="B22:B23"/>
    <mergeCell ref="A21:B21"/>
    <mergeCell ref="A22:A24"/>
    <mergeCell ref="A19:C20"/>
    <mergeCell ref="E19:F19"/>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基本!$A$5:$A$10</xm:f>
          </x14:formula1>
          <xm:sqref>I11 I9</xm:sqref>
        </x14:dataValidation>
        <x14:dataValidation type="list" allowBlank="1" showInputMessage="1" showErrorMessage="1">
          <x14:formula1>
            <xm:f>基本!$C$25:$C$35</xm:f>
          </x14:formula1>
          <xm:sqref>I15</xm:sqref>
        </x14:dataValidation>
        <x14:dataValidation type="list" allowBlank="1" showInputMessage="1" showErrorMessage="1">
          <x14:formula1>
            <xm:f>基本!$D$25:$D$29</xm:f>
          </x14:formula1>
          <xm:sqref>I8</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8"/>
  <sheetViews>
    <sheetView tabSelected="1" workbookViewId="0"/>
  </sheetViews>
  <sheetFormatPr defaultRowHeight="13.5"/>
  <cols>
    <col min="1" max="1" width="7.875" style="132" customWidth="1"/>
    <col min="2" max="2" width="8.5" style="132" customWidth="1"/>
    <col min="3" max="3" width="6.625" style="132" customWidth="1"/>
    <col min="4" max="4" width="15.75" style="132" customWidth="1"/>
    <col min="5" max="6" width="15.75" style="94" customWidth="1"/>
    <col min="7" max="7" width="18.25" style="94" customWidth="1"/>
    <col min="8" max="8" width="17.375" style="94" customWidth="1"/>
    <col min="9" max="9" width="14.625" style="94" customWidth="1"/>
    <col min="10" max="10" width="8.375" style="94" customWidth="1"/>
    <col min="11" max="11" width="7.5" style="94" customWidth="1"/>
    <col min="12" max="12" width="7.875" style="132" customWidth="1"/>
    <col min="13" max="13" width="9.25" style="132" customWidth="1"/>
    <col min="14" max="14" width="12.375" style="132" customWidth="1"/>
    <col min="15" max="16384" width="9" style="132"/>
  </cols>
  <sheetData>
    <row r="1" spans="1:13" ht="21">
      <c r="A1" s="22" t="s">
        <v>499</v>
      </c>
      <c r="B1" s="507">
        <v>15</v>
      </c>
      <c r="C1" s="508"/>
      <c r="D1" s="23" t="s">
        <v>39</v>
      </c>
      <c r="E1" s="24" t="s">
        <v>57</v>
      </c>
      <c r="F1" s="509"/>
      <c r="G1" s="510"/>
      <c r="H1" s="100" t="s">
        <v>54</v>
      </c>
    </row>
    <row r="2" spans="1:13" ht="24.75" customHeight="1">
      <c r="A2" s="23" t="s">
        <v>0</v>
      </c>
      <c r="B2" s="511" t="s">
        <v>500</v>
      </c>
      <c r="C2" s="511"/>
      <c r="D2" s="511"/>
      <c r="E2" s="511"/>
      <c r="F2" s="511"/>
      <c r="G2" s="511"/>
      <c r="H2" s="100" t="s">
        <v>55</v>
      </c>
    </row>
    <row r="3" spans="1:13" ht="19.5" customHeight="1">
      <c r="A3" s="99" t="s">
        <v>47</v>
      </c>
      <c r="B3" s="94"/>
      <c r="C3" s="94"/>
      <c r="D3" s="94"/>
      <c r="I3" s="100"/>
    </row>
    <row r="4" spans="1:13">
      <c r="A4" s="101" t="s">
        <v>45</v>
      </c>
      <c r="B4" s="397" t="s">
        <v>501</v>
      </c>
      <c r="C4" s="398"/>
      <c r="D4" s="398"/>
      <c r="E4" s="398"/>
      <c r="F4" s="398"/>
      <c r="G4" s="399"/>
    </row>
    <row r="5" spans="1:13">
      <c r="A5" s="102" t="s">
        <v>502</v>
      </c>
      <c r="B5" s="397" t="s">
        <v>503</v>
      </c>
      <c r="C5" s="398"/>
      <c r="D5" s="398"/>
      <c r="E5" s="398"/>
      <c r="F5" s="398"/>
      <c r="G5" s="399"/>
    </row>
    <row r="6" spans="1:13">
      <c r="A6" s="102" t="s">
        <v>504</v>
      </c>
      <c r="B6" s="397" t="s">
        <v>4</v>
      </c>
      <c r="C6" s="398"/>
      <c r="D6" s="399"/>
      <c r="E6" s="267" t="s">
        <v>42</v>
      </c>
      <c r="F6" s="266" t="str">
        <f>$I$6</f>
        <v>使用者</v>
      </c>
      <c r="G6" s="266" t="str">
        <f>IF($J$6 = 0,"", $J$6)</f>
        <v/>
      </c>
      <c r="H6" s="286" t="s">
        <v>42</v>
      </c>
      <c r="I6" s="288" t="s">
        <v>91</v>
      </c>
      <c r="J6" s="288">
        <v>0</v>
      </c>
    </row>
    <row r="7" spans="1:13">
      <c r="A7" s="47" t="s">
        <v>5</v>
      </c>
      <c r="B7" s="495"/>
      <c r="C7" s="496"/>
      <c r="D7" s="497"/>
      <c r="E7" s="267" t="s">
        <v>67</v>
      </c>
      <c r="F7" s="266" t="str">
        <f>IF($I$7 = 0,"", $I$7)</f>
        <v/>
      </c>
      <c r="G7" s="266" t="str">
        <f>IF($J$7 = 0,"", $J$7)</f>
        <v/>
      </c>
      <c r="H7" s="286" t="s">
        <v>67</v>
      </c>
      <c r="I7" s="288"/>
      <c r="J7" s="288">
        <v>0</v>
      </c>
    </row>
    <row r="8" spans="1:13">
      <c r="A8" s="277" t="s">
        <v>62</v>
      </c>
      <c r="B8" s="485" t="s">
        <v>505</v>
      </c>
      <c r="C8" s="486"/>
      <c r="D8" s="486"/>
      <c r="E8" s="486"/>
      <c r="F8" s="486"/>
      <c r="G8" s="487"/>
      <c r="H8" s="286" t="s">
        <v>87</v>
      </c>
      <c r="I8" s="288" t="s">
        <v>124</v>
      </c>
      <c r="J8" s="100" t="s">
        <v>63</v>
      </c>
    </row>
    <row r="9" spans="1:13">
      <c r="A9" s="104"/>
      <c r="B9" s="372" t="s">
        <v>506</v>
      </c>
      <c r="C9" s="365"/>
      <c r="D9" s="365"/>
      <c r="E9" s="365"/>
      <c r="F9" s="365"/>
      <c r="G9" s="366"/>
      <c r="H9" s="286" t="s">
        <v>50</v>
      </c>
      <c r="I9" s="288" t="s">
        <v>16</v>
      </c>
      <c r="J9" s="287">
        <f>IF($I$9 = "筋力",基本!$C$5,IF($I$9 = "耐久力",基本!$C$6,IF($I$9 = "敏捷力",基本!$C$7,IF($I$9 = "知力",基本!$C$8,IF($I$9 = "判断力",基本!$C$9,IF($I$9 = "魅力",基本!$C$10,""))))))</f>
        <v>5</v>
      </c>
      <c r="K9" s="288" t="s">
        <v>19</v>
      </c>
    </row>
    <row r="10" spans="1:13">
      <c r="A10" s="104"/>
      <c r="B10" s="372" t="s">
        <v>507</v>
      </c>
      <c r="C10" s="365"/>
      <c r="D10" s="365"/>
      <c r="E10" s="365"/>
      <c r="F10" s="365"/>
      <c r="G10" s="366"/>
      <c r="H10" s="286" t="s">
        <v>59</v>
      </c>
      <c r="I10" s="288">
        <v>0</v>
      </c>
      <c r="J10" s="296" t="s">
        <v>52</v>
      </c>
      <c r="K10" s="297"/>
      <c r="L10" s="287">
        <f>IF($I$8=基本!$F$4,基本!$O$7,IF($I$8=基本!$F$13,基本!$O$16,IF($I$8=基本!$F$22,基本!$O$25,IF($I$8=基本!$F$31,基本!$O$34,IF($I$8=基本!$F$40,基本!$O$43,0)))))</f>
        <v>17</v>
      </c>
    </row>
    <row r="11" spans="1:13">
      <c r="A11" s="104"/>
      <c r="B11" s="473" t="s">
        <v>508</v>
      </c>
      <c r="C11" s="474"/>
      <c r="D11" s="474"/>
      <c r="E11" s="474"/>
      <c r="F11" s="474"/>
      <c r="G11" s="475"/>
      <c r="H11" s="108" t="s">
        <v>51</v>
      </c>
      <c r="I11" s="288" t="s">
        <v>16</v>
      </c>
      <c r="J11" s="110">
        <f>IF($I$9 = "筋力",基本!$C$5,IF($I$11 = "耐久力",基本!$C$6,IF($I$11 = "敏捷力",基本!$C$7,IF($I$11 = "知力",基本!$C$8,IF($I$11 = "判断力",基本!$C$9,IF($I$11 = "魅力",基本!$C$10,""))))))</f>
        <v>5</v>
      </c>
      <c r="L11" s="94"/>
    </row>
    <row r="12" spans="1:13">
      <c r="A12" s="78"/>
      <c r="B12" s="372" t="s">
        <v>509</v>
      </c>
      <c r="C12" s="365"/>
      <c r="D12" s="365"/>
      <c r="E12" s="365"/>
      <c r="F12" s="365"/>
      <c r="G12" s="366"/>
      <c r="H12" s="286" t="s">
        <v>60</v>
      </c>
      <c r="I12" s="288">
        <v>0</v>
      </c>
      <c r="J12" s="296" t="s">
        <v>53</v>
      </c>
      <c r="K12" s="297"/>
      <c r="L12" s="287">
        <f>IF($I$8=基本!$F$4,基本!$O$9,IF($I$8=基本!$F$13,基本!$O$18,IF($I$8=基本!$F$22,基本!$O$27,IF($I$8=基本!$F$31,基本!$O$36,IF($I$8=基本!$F$40,基本!$O$45,0)))))</f>
        <v>6</v>
      </c>
    </row>
    <row r="13" spans="1:13">
      <c r="A13" s="104"/>
      <c r="B13" s="364"/>
      <c r="C13" s="365"/>
      <c r="D13" s="365"/>
      <c r="E13" s="365"/>
      <c r="F13" s="365"/>
      <c r="G13" s="366"/>
      <c r="H13" s="109" t="s">
        <v>88</v>
      </c>
      <c r="I13" s="288">
        <v>2</v>
      </c>
      <c r="J13" s="286" t="s">
        <v>43</v>
      </c>
      <c r="K13" s="288">
        <v>6</v>
      </c>
      <c r="L13" s="288">
        <v>6</v>
      </c>
      <c r="M13" s="147" t="s">
        <v>166</v>
      </c>
    </row>
    <row r="14" spans="1:13">
      <c r="A14" s="78"/>
      <c r="B14" s="372"/>
      <c r="C14" s="365"/>
      <c r="D14" s="365"/>
      <c r="E14" s="365"/>
      <c r="F14" s="365"/>
      <c r="G14" s="366"/>
      <c r="H14" s="286" t="s">
        <v>49</v>
      </c>
      <c r="I14" s="288">
        <v>4</v>
      </c>
      <c r="J14" s="286" t="s">
        <v>43</v>
      </c>
      <c r="K14" s="288">
        <v>12</v>
      </c>
    </row>
    <row r="15" spans="1:13">
      <c r="A15" s="78"/>
      <c r="B15" s="364"/>
      <c r="C15" s="365"/>
      <c r="D15" s="365"/>
      <c r="E15" s="365"/>
      <c r="F15" s="365"/>
      <c r="G15" s="366"/>
      <c r="H15" s="286" t="s">
        <v>61</v>
      </c>
      <c r="I15" s="288"/>
    </row>
    <row r="16" spans="1:13">
      <c r="A16" s="104"/>
      <c r="B16" s="364"/>
      <c r="C16" s="365"/>
      <c r="D16" s="365"/>
      <c r="E16" s="365"/>
      <c r="F16" s="365"/>
      <c r="G16" s="366"/>
      <c r="H16" s="286" t="s">
        <v>130</v>
      </c>
      <c r="I16" s="119">
        <f>基本!$B$21</f>
        <v>3</v>
      </c>
      <c r="J16" s="286" t="s">
        <v>43</v>
      </c>
      <c r="K16" s="119">
        <f>基本!$D$21</f>
        <v>8</v>
      </c>
    </row>
    <row r="17" spans="1:12">
      <c r="A17" s="106"/>
      <c r="B17" s="406"/>
      <c r="C17" s="368"/>
      <c r="D17" s="368"/>
      <c r="E17" s="368"/>
      <c r="F17" s="368"/>
      <c r="G17" s="369"/>
      <c r="H17" s="138" t="s">
        <v>167</v>
      </c>
      <c r="I17" s="119">
        <f>基本!$B$23</f>
        <v>1</v>
      </c>
      <c r="J17" s="139" t="s">
        <v>43</v>
      </c>
      <c r="K17" s="119">
        <f>基本!$D$23</f>
        <v>10</v>
      </c>
    </row>
    <row r="18" spans="1:12" ht="24" customHeight="1">
      <c r="A18" s="360" t="s">
        <v>235</v>
      </c>
      <c r="B18" s="360"/>
      <c r="C18" s="360"/>
      <c r="D18" s="360"/>
      <c r="E18" s="360"/>
      <c r="F18" s="360"/>
      <c r="G18" s="360"/>
      <c r="I18" s="132"/>
      <c r="J18" s="132"/>
      <c r="K18" s="132"/>
    </row>
    <row r="19" spans="1:12" ht="13.5" customHeight="1">
      <c r="A19" s="361" t="s">
        <v>236</v>
      </c>
      <c r="B19" s="361"/>
      <c r="C19" s="361"/>
      <c r="D19" s="361"/>
      <c r="E19" s="361"/>
      <c r="F19" s="361"/>
      <c r="G19" s="361"/>
    </row>
    <row r="20" spans="1:12" ht="13.5" customHeight="1">
      <c r="A20" s="361" t="s">
        <v>237</v>
      </c>
      <c r="B20" s="361"/>
      <c r="C20" s="361"/>
      <c r="D20" s="361"/>
      <c r="E20" s="361"/>
      <c r="F20" s="361"/>
      <c r="G20" s="361"/>
    </row>
    <row r="21" spans="1:12">
      <c r="A21" s="368"/>
      <c r="B21" s="368"/>
      <c r="C21" s="368"/>
      <c r="D21" s="368"/>
      <c r="E21" s="368"/>
      <c r="F21" s="368"/>
      <c r="G21" s="368"/>
    </row>
    <row r="22" spans="1:12">
      <c r="A22" s="416" t="s">
        <v>48</v>
      </c>
      <c r="B22" s="417"/>
      <c r="C22" s="417"/>
      <c r="D22" s="417"/>
      <c r="E22" s="417"/>
      <c r="F22" s="417"/>
      <c r="G22" s="418"/>
    </row>
    <row r="23" spans="1:12" s="94" customFormat="1" ht="24" customHeight="1">
      <c r="A23" s="373" t="s">
        <v>262</v>
      </c>
      <c r="B23" s="374"/>
      <c r="C23" s="374"/>
      <c r="D23" s="374"/>
      <c r="E23" s="374"/>
      <c r="F23" s="374"/>
      <c r="G23" s="375"/>
      <c r="L23" s="132"/>
    </row>
    <row r="24" spans="1:12" ht="8.25" customHeight="1">
      <c r="A24" s="372"/>
      <c r="B24" s="365"/>
      <c r="C24" s="365"/>
      <c r="D24" s="365"/>
      <c r="E24" s="365"/>
      <c r="F24" s="365"/>
      <c r="G24" s="366"/>
    </row>
    <row r="25" spans="1:12">
      <c r="A25" s="535" t="s">
        <v>488</v>
      </c>
      <c r="B25" s="436"/>
      <c r="C25" s="436"/>
      <c r="D25" s="436"/>
      <c r="E25" s="436" t="s">
        <v>461</v>
      </c>
      <c r="F25" s="436"/>
      <c r="G25" s="437"/>
    </row>
    <row r="26" spans="1:12">
      <c r="A26" s="535" t="s">
        <v>494</v>
      </c>
      <c r="B26" s="436"/>
      <c r="C26" s="436"/>
      <c r="D26" s="436"/>
      <c r="E26" s="436" t="s">
        <v>465</v>
      </c>
      <c r="F26" s="436"/>
      <c r="G26" s="437"/>
    </row>
    <row r="27" spans="1:12">
      <c r="A27" s="533" t="s">
        <v>493</v>
      </c>
      <c r="B27" s="534"/>
      <c r="C27" s="534"/>
      <c r="D27" s="534"/>
      <c r="E27" s="436" t="s">
        <v>462</v>
      </c>
      <c r="F27" s="436"/>
      <c r="G27" s="437"/>
    </row>
    <row r="28" spans="1:12">
      <c r="A28" s="533" t="s">
        <v>489</v>
      </c>
      <c r="B28" s="534"/>
      <c r="C28" s="534"/>
      <c r="D28" s="534"/>
      <c r="E28" s="436" t="s">
        <v>469</v>
      </c>
      <c r="F28" s="436"/>
      <c r="G28" s="437"/>
    </row>
    <row r="29" spans="1:12">
      <c r="A29" s="533" t="s">
        <v>490</v>
      </c>
      <c r="B29" s="534"/>
      <c r="C29" s="534"/>
      <c r="D29" s="534"/>
      <c r="E29" s="436" t="s">
        <v>470</v>
      </c>
      <c r="F29" s="436"/>
      <c r="G29" s="437"/>
    </row>
    <row r="30" spans="1:12">
      <c r="A30" s="533" t="s">
        <v>491</v>
      </c>
      <c r="B30" s="534"/>
      <c r="C30" s="534"/>
      <c r="D30" s="534"/>
      <c r="E30" s="436" t="s">
        <v>471</v>
      </c>
      <c r="F30" s="436"/>
      <c r="G30" s="437"/>
    </row>
    <row r="31" spans="1:12">
      <c r="A31" s="533" t="s">
        <v>492</v>
      </c>
      <c r="B31" s="534"/>
      <c r="C31" s="534"/>
      <c r="D31" s="534"/>
      <c r="E31" s="436" t="s">
        <v>466</v>
      </c>
      <c r="F31" s="436"/>
      <c r="G31" s="437"/>
    </row>
    <row r="32" spans="1:12">
      <c r="A32" s="372"/>
      <c r="B32" s="365"/>
      <c r="C32" s="365"/>
      <c r="D32" s="365"/>
      <c r="E32" s="365"/>
      <c r="F32" s="365"/>
      <c r="G32" s="366"/>
    </row>
    <row r="33" spans="1:12">
      <c r="A33" s="372" t="s">
        <v>464</v>
      </c>
      <c r="B33" s="365"/>
      <c r="C33" s="365"/>
      <c r="D33" s="365"/>
      <c r="E33" s="365"/>
      <c r="F33" s="365"/>
      <c r="G33" s="366"/>
    </row>
    <row r="34" spans="1:12">
      <c r="A34" s="270"/>
      <c r="B34" s="268"/>
      <c r="C34" s="268"/>
      <c r="D34" s="268"/>
      <c r="E34" s="268"/>
      <c r="F34" s="268"/>
      <c r="G34" s="269"/>
    </row>
    <row r="35" spans="1:12" ht="15" customHeight="1">
      <c r="A35" s="539" t="s">
        <v>480</v>
      </c>
      <c r="B35" s="540"/>
      <c r="C35" s="540"/>
      <c r="D35" s="540"/>
      <c r="E35" s="540"/>
      <c r="F35" s="540"/>
      <c r="G35" s="541"/>
    </row>
    <row r="36" spans="1:12">
      <c r="A36" s="372" t="s">
        <v>463</v>
      </c>
      <c r="B36" s="365"/>
      <c r="C36" s="365"/>
      <c r="D36" s="365"/>
      <c r="E36" s="365"/>
      <c r="F36" s="365"/>
      <c r="G36" s="366"/>
    </row>
    <row r="37" spans="1:12" s="94" customFormat="1">
      <c r="A37" s="372" t="s">
        <v>474</v>
      </c>
      <c r="B37" s="365"/>
      <c r="C37" s="365"/>
      <c r="D37" s="365"/>
      <c r="E37" s="365"/>
      <c r="F37" s="365"/>
      <c r="G37" s="366"/>
      <c r="L37" s="132"/>
    </row>
    <row r="38" spans="1:12" s="94" customFormat="1">
      <c r="A38" s="372" t="s">
        <v>467</v>
      </c>
      <c r="B38" s="365"/>
      <c r="C38" s="365"/>
      <c r="D38" s="365"/>
      <c r="E38" s="365"/>
      <c r="F38" s="365"/>
      <c r="G38" s="366"/>
      <c r="L38" s="132"/>
    </row>
    <row r="39" spans="1:12" s="94" customFormat="1">
      <c r="A39" s="372" t="s">
        <v>468</v>
      </c>
      <c r="B39" s="365"/>
      <c r="C39" s="365"/>
      <c r="D39" s="365"/>
      <c r="E39" s="365"/>
      <c r="F39" s="365"/>
      <c r="G39" s="366"/>
      <c r="L39" s="132"/>
    </row>
    <row r="40" spans="1:12" s="94" customFormat="1">
      <c r="A40" s="372" t="s">
        <v>472</v>
      </c>
      <c r="B40" s="365"/>
      <c r="C40" s="365"/>
      <c r="D40" s="365"/>
      <c r="E40" s="365"/>
      <c r="F40" s="365"/>
      <c r="G40" s="366"/>
      <c r="L40" s="132"/>
    </row>
    <row r="41" spans="1:12" s="94" customFormat="1">
      <c r="A41" s="372" t="s">
        <v>473</v>
      </c>
      <c r="B41" s="365"/>
      <c r="C41" s="365"/>
      <c r="D41" s="365"/>
      <c r="E41" s="365"/>
      <c r="F41" s="365"/>
      <c r="G41" s="366"/>
      <c r="L41" s="132"/>
    </row>
    <row r="42" spans="1:12" s="94" customFormat="1" ht="9.75" customHeight="1">
      <c r="A42" s="270"/>
      <c r="B42" s="268"/>
      <c r="C42" s="268"/>
      <c r="D42" s="268"/>
      <c r="E42" s="268"/>
      <c r="F42" s="268"/>
      <c r="G42" s="269"/>
      <c r="L42" s="132"/>
    </row>
    <row r="43" spans="1:12" s="94" customFormat="1" ht="15" customHeight="1">
      <c r="A43" s="539" t="s">
        <v>475</v>
      </c>
      <c r="B43" s="540"/>
      <c r="C43" s="540"/>
      <c r="D43" s="540"/>
      <c r="E43" s="540"/>
      <c r="F43" s="540"/>
      <c r="G43" s="541"/>
      <c r="L43" s="132"/>
    </row>
    <row r="44" spans="1:12" s="94" customFormat="1">
      <c r="A44" s="372" t="s">
        <v>477</v>
      </c>
      <c r="B44" s="365"/>
      <c r="C44" s="365"/>
      <c r="D44" s="365"/>
      <c r="E44" s="365"/>
      <c r="F44" s="365"/>
      <c r="G44" s="366"/>
      <c r="L44" s="132"/>
    </row>
    <row r="45" spans="1:12" s="94" customFormat="1">
      <c r="A45" s="372" t="s">
        <v>478</v>
      </c>
      <c r="B45" s="365"/>
      <c r="C45" s="365"/>
      <c r="D45" s="365"/>
      <c r="E45" s="365"/>
      <c r="F45" s="365"/>
      <c r="G45" s="366"/>
      <c r="L45" s="132"/>
    </row>
    <row r="46" spans="1:12" s="94" customFormat="1">
      <c r="A46" s="372" t="s">
        <v>476</v>
      </c>
      <c r="B46" s="365"/>
      <c r="C46" s="365"/>
      <c r="D46" s="365"/>
      <c r="E46" s="365"/>
      <c r="F46" s="365"/>
      <c r="G46" s="366"/>
      <c r="L46" s="132"/>
    </row>
    <row r="47" spans="1:12" s="94" customFormat="1">
      <c r="A47" s="372" t="s">
        <v>479</v>
      </c>
      <c r="B47" s="365"/>
      <c r="C47" s="365"/>
      <c r="D47" s="365"/>
      <c r="E47" s="365"/>
      <c r="F47" s="365"/>
      <c r="G47" s="366"/>
      <c r="L47" s="132"/>
    </row>
    <row r="48" spans="1:12" s="94" customFormat="1">
      <c r="A48" s="270" t="s">
        <v>481</v>
      </c>
      <c r="B48" s="268"/>
      <c r="C48" s="268"/>
      <c r="D48" s="268"/>
      <c r="E48" s="268"/>
      <c r="F48" s="268"/>
      <c r="G48" s="269"/>
      <c r="L48" s="132"/>
    </row>
    <row r="49" spans="1:12" s="94" customFormat="1">
      <c r="A49" s="372" t="s">
        <v>495</v>
      </c>
      <c r="B49" s="365"/>
      <c r="C49" s="365"/>
      <c r="D49" s="365"/>
      <c r="E49" s="365"/>
      <c r="F49" s="365"/>
      <c r="G49" s="366"/>
      <c r="L49" s="132"/>
    </row>
    <row r="50" spans="1:12">
      <c r="A50" s="372"/>
      <c r="B50" s="365"/>
      <c r="C50" s="365"/>
      <c r="D50" s="365"/>
      <c r="E50" s="365"/>
      <c r="F50" s="365"/>
      <c r="G50" s="366"/>
    </row>
    <row r="51" spans="1:12" s="94" customFormat="1" ht="15" customHeight="1">
      <c r="A51" s="536" t="s">
        <v>482</v>
      </c>
      <c r="B51" s="537"/>
      <c r="C51" s="537"/>
      <c r="D51" s="537"/>
      <c r="E51" s="537"/>
      <c r="F51" s="537"/>
      <c r="G51" s="538"/>
      <c r="L51" s="132"/>
    </row>
    <row r="52" spans="1:12" s="94" customFormat="1" ht="6" customHeight="1">
      <c r="A52" s="274"/>
      <c r="B52" s="275"/>
      <c r="C52" s="275"/>
      <c r="D52" s="275"/>
      <c r="E52" s="275"/>
      <c r="F52" s="275"/>
      <c r="G52" s="276"/>
      <c r="L52" s="132"/>
    </row>
    <row r="53" spans="1:12" s="94" customFormat="1">
      <c r="A53" s="372" t="s">
        <v>486</v>
      </c>
      <c r="B53" s="365"/>
      <c r="C53" s="365"/>
      <c r="D53" s="365"/>
      <c r="E53" s="365"/>
      <c r="F53" s="365"/>
      <c r="G53" s="366"/>
      <c r="L53" s="132"/>
    </row>
    <row r="54" spans="1:12" s="94" customFormat="1">
      <c r="A54" s="372" t="s">
        <v>483</v>
      </c>
      <c r="B54" s="365"/>
      <c r="C54" s="365"/>
      <c r="D54" s="365"/>
      <c r="E54" s="365"/>
      <c r="F54" s="365"/>
      <c r="G54" s="366"/>
      <c r="L54" s="132"/>
    </row>
    <row r="55" spans="1:12" s="94" customFormat="1">
      <c r="A55" s="372" t="s">
        <v>484</v>
      </c>
      <c r="B55" s="365"/>
      <c r="C55" s="365"/>
      <c r="D55" s="365"/>
      <c r="E55" s="365"/>
      <c r="F55" s="365"/>
      <c r="G55" s="366"/>
      <c r="L55" s="132"/>
    </row>
    <row r="56" spans="1:12" s="94" customFormat="1">
      <c r="A56" s="372" t="s">
        <v>485</v>
      </c>
      <c r="B56" s="365"/>
      <c r="C56" s="365"/>
      <c r="D56" s="365"/>
      <c r="E56" s="365"/>
      <c r="F56" s="365"/>
      <c r="G56" s="366"/>
      <c r="L56" s="132"/>
    </row>
    <row r="57" spans="1:12" s="94" customFormat="1" ht="8.25" customHeight="1">
      <c r="A57" s="406"/>
      <c r="B57" s="368"/>
      <c r="C57" s="368"/>
      <c r="D57" s="368"/>
      <c r="E57" s="368"/>
      <c r="F57" s="368"/>
      <c r="G57" s="369"/>
      <c r="L57" s="132"/>
    </row>
    <row r="58" spans="1:12" s="94" customFormat="1" ht="21">
      <c r="A58" s="26" t="s">
        <v>499</v>
      </c>
      <c r="B58" s="273">
        <f>$B$1</f>
        <v>15</v>
      </c>
      <c r="C58" s="27" t="s">
        <v>39</v>
      </c>
      <c r="D58" s="28" t="str">
        <f>$E$1</f>
        <v>一日毎</v>
      </c>
      <c r="E58" s="520" t="str">
        <f>$B$2</f>
        <v>ブラッディ・パス</v>
      </c>
      <c r="F58" s="521"/>
      <c r="G58" s="522"/>
      <c r="L58" s="132"/>
    </row>
  </sheetData>
  <mergeCells count="63">
    <mergeCell ref="J10:K10"/>
    <mergeCell ref="B11:G11"/>
    <mergeCell ref="B1:C1"/>
    <mergeCell ref="F1:G1"/>
    <mergeCell ref="B2:G2"/>
    <mergeCell ref="B4:G4"/>
    <mergeCell ref="B5:G5"/>
    <mergeCell ref="B6:D6"/>
    <mergeCell ref="B16:G16"/>
    <mergeCell ref="B7:D7"/>
    <mergeCell ref="B8:G8"/>
    <mergeCell ref="B9:G9"/>
    <mergeCell ref="B10:G10"/>
    <mergeCell ref="B12:G12"/>
    <mergeCell ref="J12:K12"/>
    <mergeCell ref="B13:G13"/>
    <mergeCell ref="B14:G14"/>
    <mergeCell ref="B15:G15"/>
    <mergeCell ref="A36:G36"/>
    <mergeCell ref="A24:G24"/>
    <mergeCell ref="B17:G17"/>
    <mergeCell ref="A18:G18"/>
    <mergeCell ref="A19:G19"/>
    <mergeCell ref="A20:G20"/>
    <mergeCell ref="A21:G21"/>
    <mergeCell ref="A22:G22"/>
    <mergeCell ref="A23:G23"/>
    <mergeCell ref="A35:G35"/>
    <mergeCell ref="A32:G32"/>
    <mergeCell ref="A33:G33"/>
    <mergeCell ref="A46:G46"/>
    <mergeCell ref="A47:G47"/>
    <mergeCell ref="A37:G37"/>
    <mergeCell ref="A38:G38"/>
    <mergeCell ref="A39:G39"/>
    <mergeCell ref="A40:G40"/>
    <mergeCell ref="A41:G41"/>
    <mergeCell ref="A30:D30"/>
    <mergeCell ref="E30:G30"/>
    <mergeCell ref="A31:D31"/>
    <mergeCell ref="E31:G31"/>
    <mergeCell ref="E58:G58"/>
    <mergeCell ref="A55:G55"/>
    <mergeCell ref="A56:G56"/>
    <mergeCell ref="A57:G57"/>
    <mergeCell ref="A49:G49"/>
    <mergeCell ref="A50:G50"/>
    <mergeCell ref="A51:G51"/>
    <mergeCell ref="A53:G53"/>
    <mergeCell ref="A54:G54"/>
    <mergeCell ref="A43:G43"/>
    <mergeCell ref="A44:G44"/>
    <mergeCell ref="A45:G45"/>
    <mergeCell ref="A28:D28"/>
    <mergeCell ref="E28:G28"/>
    <mergeCell ref="A29:D29"/>
    <mergeCell ref="A25:D25"/>
    <mergeCell ref="E25:G25"/>
    <mergeCell ref="A26:D26"/>
    <mergeCell ref="E26:G26"/>
    <mergeCell ref="A27:D27"/>
    <mergeCell ref="E27:G27"/>
    <mergeCell ref="E29:G2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基本!$A$25:$A$31</xm:f>
          </x14:formula1>
          <xm:sqref>I6</xm:sqref>
        </x14:dataValidation>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xm:sqref>
        </x14:dataValidation>
        <x14:dataValidation type="list" allowBlank="1" showInputMessage="1" showErrorMessage="1">
          <x14:formula1>
            <xm:f>基本!$A$5:$A$10</xm:f>
          </x14:formula1>
          <xm:sqref>I11 I9</xm:sqref>
        </x14:dataValidation>
        <x14:dataValidation type="list" allowBlank="1" showInputMessage="1" showErrorMessage="1">
          <x14:formula1>
            <xm:f>基本!$A$14:$A$17</xm:f>
          </x14:formula1>
          <xm:sqref>K9</xm:sqref>
        </x14:dataValidation>
        <x14:dataValidation type="list" allowBlank="1" showInputMessage="1" showErrorMessage="1">
          <x14:formula1>
            <xm:f>基本!$B$25:$B$29</xm:f>
          </x14:formula1>
          <xm:sqref>I7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7"/>
  <sheetViews>
    <sheetView topLeftCell="F1" workbookViewId="0">
      <selection activeCell="H6" sqref="H6:L17"/>
    </sheetView>
  </sheetViews>
  <sheetFormatPr defaultRowHeight="13.5"/>
  <cols>
    <col min="1" max="1" width="7.875" style="132" customWidth="1"/>
    <col min="2" max="2" width="8.5" style="132" customWidth="1"/>
    <col min="3" max="3" width="6.625" style="132" customWidth="1"/>
    <col min="4" max="4" width="15.75" style="132" customWidth="1"/>
    <col min="5" max="6" width="15.75" style="94" customWidth="1"/>
    <col min="7" max="7" width="18.25" style="94" customWidth="1"/>
    <col min="8" max="8" width="17.375" style="94" customWidth="1"/>
    <col min="9" max="9" width="14.625" style="94" customWidth="1"/>
    <col min="10" max="10" width="8.375" style="94" customWidth="1"/>
    <col min="11" max="11" width="7.5" style="94" customWidth="1"/>
    <col min="12" max="12" width="7.875" style="132" customWidth="1"/>
    <col min="13" max="13" width="9.25" style="132" customWidth="1"/>
    <col min="14" max="14" width="12.375" style="132" customWidth="1"/>
    <col min="15" max="16384" width="9" style="132"/>
  </cols>
  <sheetData>
    <row r="1" spans="1:13" ht="21">
      <c r="A1" s="22"/>
      <c r="B1" s="542" t="s">
        <v>95</v>
      </c>
      <c r="C1" s="543"/>
      <c r="D1" s="23" t="s">
        <v>39</v>
      </c>
      <c r="E1" s="24" t="s">
        <v>57</v>
      </c>
      <c r="F1" s="509"/>
      <c r="G1" s="510"/>
      <c r="H1" s="100" t="s">
        <v>54</v>
      </c>
    </row>
    <row r="2" spans="1:13" ht="24.75" customHeight="1">
      <c r="A2" s="23" t="s">
        <v>0</v>
      </c>
      <c r="B2" s="511" t="s">
        <v>138</v>
      </c>
      <c r="C2" s="511"/>
      <c r="D2" s="511"/>
      <c r="E2" s="511"/>
      <c r="F2" s="511"/>
      <c r="G2" s="511"/>
      <c r="H2" s="100" t="s">
        <v>55</v>
      </c>
    </row>
    <row r="3" spans="1:13" ht="19.5" customHeight="1">
      <c r="A3" s="99" t="s">
        <v>47</v>
      </c>
      <c r="B3" s="94"/>
      <c r="C3" s="94"/>
      <c r="D3" s="94"/>
      <c r="I3" s="100"/>
    </row>
    <row r="4" spans="1:13">
      <c r="A4" s="101" t="s">
        <v>45</v>
      </c>
      <c r="B4" s="397" t="s">
        <v>177</v>
      </c>
      <c r="C4" s="398"/>
      <c r="D4" s="398"/>
      <c r="E4" s="398"/>
      <c r="F4" s="398"/>
      <c r="G4" s="399"/>
    </row>
    <row r="5" spans="1:13">
      <c r="A5" s="102" t="s">
        <v>38</v>
      </c>
      <c r="B5" s="397" t="s">
        <v>139</v>
      </c>
      <c r="C5" s="398"/>
      <c r="D5" s="398"/>
      <c r="E5" s="398"/>
      <c r="F5" s="398"/>
      <c r="G5" s="399"/>
    </row>
    <row r="6" spans="1:13">
      <c r="A6" s="102" t="s">
        <v>6</v>
      </c>
      <c r="B6" s="397" t="s">
        <v>89</v>
      </c>
      <c r="C6" s="398"/>
      <c r="D6" s="399"/>
      <c r="E6" s="149" t="s">
        <v>42</v>
      </c>
      <c r="F6" s="148" t="str">
        <f>IF($I$6 = 0,"", $I$6)</f>
        <v>近接範囲</v>
      </c>
      <c r="G6" s="148" t="str">
        <f>IF($J$6 = 0,"", $J$6)</f>
        <v/>
      </c>
      <c r="H6" s="130" t="s">
        <v>42</v>
      </c>
      <c r="I6" s="142" t="s">
        <v>71</v>
      </c>
      <c r="J6" s="131">
        <v>0</v>
      </c>
    </row>
    <row r="7" spans="1:13">
      <c r="A7" s="103" t="s">
        <v>5</v>
      </c>
      <c r="B7" s="397" t="s">
        <v>112</v>
      </c>
      <c r="C7" s="398"/>
      <c r="D7" s="399"/>
      <c r="E7" s="149" t="s">
        <v>67</v>
      </c>
      <c r="F7" s="148" t="str">
        <f>IF($I$7 = 0,"", $I$7)</f>
        <v>爆発</v>
      </c>
      <c r="G7" s="119">
        <f>IF($J$7 = 0,"", $J$7)</f>
        <v>10</v>
      </c>
      <c r="H7" s="130" t="s">
        <v>67</v>
      </c>
      <c r="I7" s="131" t="s">
        <v>68</v>
      </c>
      <c r="J7" s="131">
        <v>10</v>
      </c>
    </row>
    <row r="8" spans="1:13">
      <c r="A8" s="105" t="s">
        <v>62</v>
      </c>
      <c r="B8" s="485" t="s">
        <v>140</v>
      </c>
      <c r="C8" s="486"/>
      <c r="D8" s="486"/>
      <c r="E8" s="486"/>
      <c r="F8" s="486"/>
      <c r="G8" s="487"/>
      <c r="H8" s="130" t="s">
        <v>87</v>
      </c>
      <c r="I8" s="131" t="s">
        <v>124</v>
      </c>
      <c r="J8" s="100" t="s">
        <v>63</v>
      </c>
    </row>
    <row r="9" spans="1:13">
      <c r="A9" s="104"/>
      <c r="B9" s="372" t="s">
        <v>141</v>
      </c>
      <c r="C9" s="365"/>
      <c r="D9" s="365"/>
      <c r="E9" s="365"/>
      <c r="F9" s="365"/>
      <c r="G9" s="366"/>
      <c r="H9" s="130" t="s">
        <v>50</v>
      </c>
      <c r="I9" s="131" t="s">
        <v>16</v>
      </c>
      <c r="J9" s="129">
        <f>IF($I$9 = "筋力",基本!$C$5,IF($I$9 = "耐久力",基本!$C$6,IF($I$9 = "敏捷力",基本!$C$7,IF($I$9 = "知力",基本!$C$8,IF($I$9 = "判断力",基本!$C$9,IF($I$9 = "魅力",基本!$C$10,""))))))</f>
        <v>5</v>
      </c>
      <c r="K9" s="131" t="s">
        <v>19</v>
      </c>
    </row>
    <row r="10" spans="1:13" ht="13.5" customHeight="1">
      <c r="A10" s="111"/>
      <c r="B10" s="372" t="s">
        <v>142</v>
      </c>
      <c r="C10" s="365"/>
      <c r="D10" s="365"/>
      <c r="E10" s="365"/>
      <c r="F10" s="365"/>
      <c r="G10" s="366"/>
      <c r="H10" s="130" t="s">
        <v>59</v>
      </c>
      <c r="I10" s="131">
        <v>0</v>
      </c>
      <c r="J10" s="296" t="s">
        <v>52</v>
      </c>
      <c r="K10" s="297"/>
      <c r="L10" s="129">
        <f>IF($I$8=基本!$F$4,基本!$O$7,IF($I$8=基本!$F$13,基本!$O$16,IF($I$8=基本!$F$22,基本!$O$25,IF($I$8=基本!$F$31,基本!$O$34,IF($I$8=基本!$F$40,基本!$O$43,0)))))</f>
        <v>17</v>
      </c>
    </row>
    <row r="11" spans="1:13" ht="13.5" customHeight="1">
      <c r="A11" s="104"/>
      <c r="B11" s="372" t="s">
        <v>143</v>
      </c>
      <c r="C11" s="365"/>
      <c r="D11" s="365"/>
      <c r="E11" s="365"/>
      <c r="F11" s="365"/>
      <c r="G11" s="366"/>
      <c r="H11" s="108" t="s">
        <v>51</v>
      </c>
      <c r="I11" s="131" t="s">
        <v>16</v>
      </c>
      <c r="J11" s="110">
        <f>IF($I$9 = "筋力",基本!$C$5,IF($I$11 = "耐久力",基本!$C$6,IF($I$11 = "敏捷力",基本!$C$7,IF($I$11 = "知力",基本!$C$8,IF($I$11 = "判断力",基本!$C$9,IF($I$11 = "魅力",基本!$C$10,""))))))</f>
        <v>5</v>
      </c>
      <c r="L11" s="94"/>
    </row>
    <row r="12" spans="1:13">
      <c r="A12" s="104"/>
      <c r="B12" s="364"/>
      <c r="C12" s="365"/>
      <c r="D12" s="365"/>
      <c r="E12" s="365"/>
      <c r="F12" s="365"/>
      <c r="G12" s="366"/>
      <c r="H12" s="130" t="s">
        <v>60</v>
      </c>
      <c r="I12" s="131">
        <v>0</v>
      </c>
      <c r="J12" s="296" t="s">
        <v>53</v>
      </c>
      <c r="K12" s="297"/>
      <c r="L12" s="129">
        <f>IF($I$8=基本!$F$4,基本!$O$9,IF($I$8=基本!$F$13,基本!$O$18,IF($I$8=基本!$F$22,基本!$O$27,IF($I$8=基本!$F$31,基本!$O$36,IF($I$8=基本!$F$40,基本!$O$45,0)))))</f>
        <v>6</v>
      </c>
    </row>
    <row r="13" spans="1:13">
      <c r="A13" s="104"/>
      <c r="B13" s="372"/>
      <c r="C13" s="365"/>
      <c r="D13" s="365"/>
      <c r="E13" s="365"/>
      <c r="F13" s="365"/>
      <c r="G13" s="366"/>
      <c r="H13" s="109" t="s">
        <v>88</v>
      </c>
      <c r="I13" s="131">
        <v>2</v>
      </c>
      <c r="J13" s="130" t="s">
        <v>43</v>
      </c>
      <c r="K13" s="131">
        <v>6</v>
      </c>
      <c r="L13" s="137">
        <v>6</v>
      </c>
      <c r="M13" s="147" t="s">
        <v>166</v>
      </c>
    </row>
    <row r="14" spans="1:13">
      <c r="A14" s="104"/>
      <c r="B14" s="372"/>
      <c r="C14" s="365"/>
      <c r="D14" s="365"/>
      <c r="E14" s="365"/>
      <c r="F14" s="365"/>
      <c r="G14" s="366"/>
      <c r="H14" s="130" t="s">
        <v>49</v>
      </c>
      <c r="I14" s="131">
        <v>4</v>
      </c>
      <c r="J14" s="130" t="s">
        <v>43</v>
      </c>
      <c r="K14" s="131">
        <v>12</v>
      </c>
    </row>
    <row r="15" spans="1:13">
      <c r="A15" s="104"/>
      <c r="B15" s="372"/>
      <c r="C15" s="365"/>
      <c r="D15" s="365"/>
      <c r="E15" s="365"/>
      <c r="F15" s="365"/>
      <c r="G15" s="366"/>
      <c r="H15" s="130" t="s">
        <v>61</v>
      </c>
      <c r="I15" s="131" t="s">
        <v>75</v>
      </c>
    </row>
    <row r="16" spans="1:13">
      <c r="A16" s="104"/>
      <c r="B16" s="372"/>
      <c r="C16" s="365"/>
      <c r="D16" s="365"/>
      <c r="E16" s="365"/>
      <c r="F16" s="365"/>
      <c r="G16" s="366"/>
      <c r="H16" s="130" t="s">
        <v>130</v>
      </c>
      <c r="I16" s="119">
        <f>基本!$B$21</f>
        <v>3</v>
      </c>
      <c r="J16" s="130" t="s">
        <v>43</v>
      </c>
      <c r="K16" s="119">
        <f>基本!$D$21</f>
        <v>8</v>
      </c>
    </row>
    <row r="17" spans="1:12">
      <c r="A17" s="104"/>
      <c r="B17" s="473"/>
      <c r="C17" s="474"/>
      <c r="D17" s="474"/>
      <c r="E17" s="474"/>
      <c r="F17" s="474"/>
      <c r="G17" s="475"/>
      <c r="H17" s="138" t="s">
        <v>167</v>
      </c>
      <c r="I17" s="119">
        <f>基本!$B$23</f>
        <v>1</v>
      </c>
      <c r="J17" s="139" t="s">
        <v>43</v>
      </c>
      <c r="K17" s="119">
        <f>基本!$D$23</f>
        <v>10</v>
      </c>
    </row>
    <row r="18" spans="1:12">
      <c r="A18" s="104"/>
      <c r="B18" s="544"/>
      <c r="C18" s="545"/>
      <c r="D18" s="545"/>
      <c r="E18" s="545"/>
      <c r="F18" s="545"/>
      <c r="G18" s="546"/>
      <c r="J18" s="132"/>
      <c r="K18" s="132"/>
    </row>
    <row r="19" spans="1:12">
      <c r="A19" s="104"/>
      <c r="B19" s="372"/>
      <c r="C19" s="365"/>
      <c r="D19" s="365"/>
      <c r="E19" s="365"/>
      <c r="F19" s="365"/>
      <c r="G19" s="366"/>
      <c r="J19" s="132"/>
      <c r="K19" s="132"/>
    </row>
    <row r="20" spans="1:12" ht="21">
      <c r="A20" s="104"/>
      <c r="B20" s="460" t="str">
        <f>"　　　　　　　　　　　　　" &amp; $I$13 &amp; "d" &amp; $K$13 &amp; "＋" &amp; $J$11 &amp; "＋回復力値　1マス横滑り"</f>
        <v>　　　　　　　　　　　　　2d6＋5＋回復力値　1マス横滑り</v>
      </c>
      <c r="C20" s="461"/>
      <c r="D20" s="461"/>
      <c r="E20" s="461"/>
      <c r="F20" s="461"/>
      <c r="G20" s="462"/>
      <c r="H20" s="144" t="s">
        <v>229</v>
      </c>
      <c r="J20" s="132"/>
      <c r="K20" s="132"/>
    </row>
    <row r="21" spans="1:12" ht="21">
      <c r="A21" s="104"/>
      <c r="B21" s="498" t="s">
        <v>234</v>
      </c>
      <c r="C21" s="461"/>
      <c r="D21" s="461"/>
      <c r="E21" s="461"/>
      <c r="F21" s="461"/>
      <c r="G21" s="462"/>
      <c r="J21" s="132"/>
      <c r="K21" s="132"/>
    </row>
    <row r="22" spans="1:12">
      <c r="A22" s="106"/>
      <c r="B22" s="406"/>
      <c r="C22" s="368"/>
      <c r="D22" s="368"/>
      <c r="E22" s="368"/>
      <c r="F22" s="368"/>
      <c r="G22" s="369"/>
      <c r="J22" s="132"/>
      <c r="K22" s="132"/>
    </row>
    <row r="23" spans="1:12" ht="24" customHeight="1">
      <c r="A23" s="360" t="s">
        <v>235</v>
      </c>
      <c r="B23" s="360"/>
      <c r="C23" s="360"/>
      <c r="D23" s="360"/>
      <c r="E23" s="360"/>
      <c r="F23" s="360"/>
      <c r="G23" s="360"/>
      <c r="I23" s="132"/>
      <c r="J23" s="132"/>
      <c r="K23" s="132"/>
    </row>
    <row r="24" spans="1:12" ht="13.5" customHeight="1">
      <c r="A24" s="361" t="s">
        <v>236</v>
      </c>
      <c r="B24" s="361"/>
      <c r="C24" s="361"/>
      <c r="D24" s="361"/>
      <c r="E24" s="361"/>
      <c r="F24" s="361"/>
      <c r="G24" s="361"/>
    </row>
    <row r="25" spans="1:12" ht="13.5" customHeight="1">
      <c r="A25" s="361" t="s">
        <v>237</v>
      </c>
      <c r="B25" s="361"/>
      <c r="C25" s="361"/>
      <c r="D25" s="361"/>
      <c r="E25" s="361"/>
      <c r="F25" s="361"/>
      <c r="G25" s="361"/>
    </row>
    <row r="26" spans="1:12">
      <c r="A26" s="368"/>
      <c r="B26" s="368"/>
      <c r="C26" s="368"/>
      <c r="D26" s="368"/>
      <c r="E26" s="368"/>
      <c r="F26" s="368"/>
      <c r="G26" s="368"/>
    </row>
    <row r="27" spans="1:12">
      <c r="A27" s="416" t="s">
        <v>48</v>
      </c>
      <c r="B27" s="417"/>
      <c r="C27" s="417"/>
      <c r="D27" s="417"/>
      <c r="E27" s="417"/>
      <c r="F27" s="417"/>
      <c r="G27" s="418"/>
    </row>
    <row r="28" spans="1:12" s="94" customFormat="1">
      <c r="A28" s="372"/>
      <c r="B28" s="365"/>
      <c r="C28" s="365"/>
      <c r="D28" s="365"/>
      <c r="E28" s="365"/>
      <c r="F28" s="365"/>
      <c r="G28" s="366"/>
      <c r="L28" s="132"/>
    </row>
    <row r="29" spans="1:12" s="94" customFormat="1">
      <c r="A29" s="372" t="s">
        <v>346</v>
      </c>
      <c r="B29" s="365"/>
      <c r="C29" s="365"/>
      <c r="D29" s="365"/>
      <c r="E29" s="365"/>
      <c r="F29" s="365"/>
      <c r="G29" s="366"/>
      <c r="L29" s="132"/>
    </row>
    <row r="30" spans="1:12" s="94" customFormat="1">
      <c r="A30" s="372" t="s">
        <v>344</v>
      </c>
      <c r="B30" s="365"/>
      <c r="C30" s="365"/>
      <c r="D30" s="365"/>
      <c r="E30" s="365"/>
      <c r="F30" s="365"/>
      <c r="G30" s="366"/>
      <c r="L30" s="132"/>
    </row>
    <row r="31" spans="1:12" s="94" customFormat="1">
      <c r="A31" s="372" t="s">
        <v>345</v>
      </c>
      <c r="B31" s="365"/>
      <c r="C31" s="365"/>
      <c r="D31" s="365"/>
      <c r="E31" s="365"/>
      <c r="F31" s="365"/>
      <c r="G31" s="366"/>
      <c r="L31" s="132"/>
    </row>
    <row r="32" spans="1:12" s="94" customFormat="1">
      <c r="A32" s="221"/>
      <c r="B32" s="219"/>
      <c r="C32" s="219"/>
      <c r="D32" s="219"/>
      <c r="E32" s="219"/>
      <c r="F32" s="219"/>
      <c r="G32" s="220"/>
      <c r="L32" s="132"/>
    </row>
    <row r="33" spans="1:12">
      <c r="A33" s="372" t="s">
        <v>343</v>
      </c>
      <c r="B33" s="365"/>
      <c r="C33" s="365"/>
      <c r="D33" s="365"/>
      <c r="E33" s="365"/>
      <c r="F33" s="365"/>
      <c r="G33" s="366"/>
    </row>
    <row r="34" spans="1:12" s="94" customFormat="1">
      <c r="A34" s="372"/>
      <c r="B34" s="365"/>
      <c r="C34" s="365"/>
      <c r="D34" s="365"/>
      <c r="E34" s="365"/>
      <c r="F34" s="365"/>
      <c r="G34" s="366"/>
      <c r="L34" s="132"/>
    </row>
    <row r="35" spans="1:12" s="94" customFormat="1">
      <c r="A35" s="372"/>
      <c r="B35" s="365"/>
      <c r="C35" s="365"/>
      <c r="D35" s="365"/>
      <c r="E35" s="365"/>
      <c r="F35" s="365"/>
      <c r="G35" s="366"/>
      <c r="L35" s="132"/>
    </row>
    <row r="36" spans="1:12" s="94" customFormat="1">
      <c r="A36" s="372"/>
      <c r="B36" s="365"/>
      <c r="C36" s="365"/>
      <c r="D36" s="365"/>
      <c r="E36" s="365"/>
      <c r="F36" s="365"/>
      <c r="G36" s="366"/>
      <c r="L36" s="132"/>
    </row>
    <row r="37" spans="1:12" s="94" customFormat="1">
      <c r="A37" s="547"/>
      <c r="B37" s="548"/>
      <c r="C37" s="548"/>
      <c r="D37" s="548"/>
      <c r="E37" s="548"/>
      <c r="F37" s="548"/>
      <c r="G37" s="549"/>
      <c r="L37" s="132"/>
    </row>
    <row r="38" spans="1:12" s="94" customFormat="1">
      <c r="A38" s="372"/>
      <c r="B38" s="365"/>
      <c r="C38" s="365"/>
      <c r="D38" s="365"/>
      <c r="E38" s="365"/>
      <c r="F38" s="365"/>
      <c r="G38" s="366"/>
      <c r="L38" s="132"/>
    </row>
    <row r="39" spans="1:12" s="94" customFormat="1">
      <c r="A39" s="372"/>
      <c r="B39" s="365"/>
      <c r="C39" s="365"/>
      <c r="D39" s="365"/>
      <c r="E39" s="365"/>
      <c r="F39" s="365"/>
      <c r="G39" s="366"/>
      <c r="L39" s="132"/>
    </row>
    <row r="40" spans="1:12" s="94" customFormat="1">
      <c r="A40" s="372"/>
      <c r="B40" s="365"/>
      <c r="C40" s="365"/>
      <c r="D40" s="365"/>
      <c r="E40" s="365"/>
      <c r="F40" s="365"/>
      <c r="G40" s="366"/>
      <c r="L40" s="132"/>
    </row>
    <row r="41" spans="1:12">
      <c r="A41" s="372"/>
      <c r="B41" s="365"/>
      <c r="C41" s="365"/>
      <c r="D41" s="365"/>
      <c r="E41" s="365"/>
      <c r="F41" s="365"/>
      <c r="G41" s="366"/>
    </row>
    <row r="42" spans="1:12" s="94" customFormat="1">
      <c r="A42" s="372"/>
      <c r="B42" s="365"/>
      <c r="C42" s="365"/>
      <c r="D42" s="365"/>
      <c r="E42" s="365"/>
      <c r="F42" s="365"/>
      <c r="G42" s="366"/>
      <c r="L42" s="132"/>
    </row>
    <row r="43" spans="1:12" s="94" customFormat="1">
      <c r="A43" s="372"/>
      <c r="B43" s="365"/>
      <c r="C43" s="365"/>
      <c r="D43" s="365"/>
      <c r="E43" s="365"/>
      <c r="F43" s="365"/>
      <c r="G43" s="366"/>
      <c r="L43" s="132"/>
    </row>
    <row r="44" spans="1:12">
      <c r="A44" s="372"/>
      <c r="B44" s="365"/>
      <c r="C44" s="365"/>
      <c r="D44" s="365"/>
      <c r="E44" s="365"/>
      <c r="F44" s="365"/>
      <c r="G44" s="366"/>
    </row>
    <row r="45" spans="1:12" s="94" customFormat="1">
      <c r="A45" s="372"/>
      <c r="B45" s="365"/>
      <c r="C45" s="365"/>
      <c r="D45" s="365"/>
      <c r="E45" s="365"/>
      <c r="F45" s="365"/>
      <c r="G45" s="366"/>
      <c r="L45" s="132"/>
    </row>
    <row r="46" spans="1:12" s="94" customFormat="1">
      <c r="A46" s="372"/>
      <c r="B46" s="365"/>
      <c r="C46" s="365"/>
      <c r="D46" s="365"/>
      <c r="E46" s="365"/>
      <c r="F46" s="365"/>
      <c r="G46" s="366"/>
      <c r="L46" s="132"/>
    </row>
    <row r="47" spans="1:12" s="94" customFormat="1">
      <c r="A47" s="372"/>
      <c r="B47" s="365"/>
      <c r="C47" s="365"/>
      <c r="D47" s="365"/>
      <c r="E47" s="365"/>
      <c r="F47" s="365"/>
      <c r="G47" s="366"/>
      <c r="L47" s="132"/>
    </row>
    <row r="48" spans="1:12" s="94" customFormat="1">
      <c r="A48" s="372"/>
      <c r="B48" s="365"/>
      <c r="C48" s="365"/>
      <c r="D48" s="365"/>
      <c r="E48" s="365"/>
      <c r="F48" s="365"/>
      <c r="G48" s="366"/>
      <c r="L48" s="132"/>
    </row>
    <row r="49" spans="1:12" s="94" customFormat="1">
      <c r="A49" s="372"/>
      <c r="B49" s="365"/>
      <c r="C49" s="365"/>
      <c r="D49" s="365"/>
      <c r="E49" s="365"/>
      <c r="F49" s="365"/>
      <c r="G49" s="366"/>
      <c r="L49" s="132"/>
    </row>
    <row r="50" spans="1:12" s="94" customFormat="1">
      <c r="A50" s="372"/>
      <c r="B50" s="365"/>
      <c r="C50" s="365"/>
      <c r="D50" s="365"/>
      <c r="E50" s="365"/>
      <c r="F50" s="365"/>
      <c r="G50" s="366"/>
      <c r="L50" s="132"/>
    </row>
    <row r="51" spans="1:12" s="94" customFormat="1">
      <c r="A51" s="372"/>
      <c r="B51" s="365"/>
      <c r="C51" s="365"/>
      <c r="D51" s="365"/>
      <c r="E51" s="365"/>
      <c r="F51" s="365"/>
      <c r="G51" s="366"/>
      <c r="L51" s="132"/>
    </row>
    <row r="52" spans="1:12" s="94" customFormat="1">
      <c r="A52" s="372"/>
      <c r="B52" s="365"/>
      <c r="C52" s="365"/>
      <c r="D52" s="365"/>
      <c r="E52" s="365"/>
      <c r="F52" s="365"/>
      <c r="G52" s="366"/>
      <c r="L52" s="132"/>
    </row>
    <row r="53" spans="1:12" s="94" customFormat="1">
      <c r="A53" s="372"/>
      <c r="B53" s="365"/>
      <c r="C53" s="365"/>
      <c r="D53" s="365"/>
      <c r="E53" s="365"/>
      <c r="F53" s="365"/>
      <c r="G53" s="366"/>
      <c r="L53" s="132"/>
    </row>
    <row r="54" spans="1:12" s="94" customFormat="1">
      <c r="A54" s="372"/>
      <c r="B54" s="365"/>
      <c r="C54" s="365"/>
      <c r="D54" s="365"/>
      <c r="E54" s="365"/>
      <c r="F54" s="365"/>
      <c r="G54" s="366"/>
      <c r="L54" s="132"/>
    </row>
    <row r="55" spans="1:12" s="94" customFormat="1">
      <c r="A55" s="372"/>
      <c r="B55" s="365"/>
      <c r="C55" s="365"/>
      <c r="D55" s="365"/>
      <c r="E55" s="365"/>
      <c r="F55" s="365"/>
      <c r="G55" s="366"/>
      <c r="L55" s="132"/>
    </row>
    <row r="56" spans="1:12" s="94" customFormat="1">
      <c r="A56" s="406"/>
      <c r="B56" s="368"/>
      <c r="C56" s="368"/>
      <c r="D56" s="368"/>
      <c r="E56" s="368"/>
      <c r="F56" s="368"/>
      <c r="G56" s="369"/>
      <c r="L56" s="132"/>
    </row>
    <row r="57" spans="1:12" s="94" customFormat="1" ht="21">
      <c r="A57" s="26" t="s">
        <v>31</v>
      </c>
      <c r="B57" s="135" t="str">
        <f>$B$1</f>
        <v>クラス特徴</v>
      </c>
      <c r="C57" s="27" t="s">
        <v>39</v>
      </c>
      <c r="D57" s="28" t="str">
        <f>$E$1</f>
        <v>一日毎</v>
      </c>
      <c r="E57" s="520" t="str">
        <f>$B$2</f>
        <v>マジェスティック・ワード</v>
      </c>
      <c r="F57" s="521"/>
      <c r="G57" s="522"/>
      <c r="L57" s="132"/>
    </row>
  </sheetData>
  <mergeCells count="58">
    <mergeCell ref="E57:G57"/>
    <mergeCell ref="A47:G47"/>
    <mergeCell ref="A48:G48"/>
    <mergeCell ref="A49:G49"/>
    <mergeCell ref="A50:G50"/>
    <mergeCell ref="A51:G51"/>
    <mergeCell ref="A52:G52"/>
    <mergeCell ref="A53:G53"/>
    <mergeCell ref="A54:G54"/>
    <mergeCell ref="A55:G55"/>
    <mergeCell ref="A56:G56"/>
    <mergeCell ref="A34:G34"/>
    <mergeCell ref="A46:G46"/>
    <mergeCell ref="A35:G35"/>
    <mergeCell ref="A36:G36"/>
    <mergeCell ref="A37:G37"/>
    <mergeCell ref="A38:G38"/>
    <mergeCell ref="A39:G39"/>
    <mergeCell ref="A40:G40"/>
    <mergeCell ref="A41:G41"/>
    <mergeCell ref="A42:G42"/>
    <mergeCell ref="A43:G43"/>
    <mergeCell ref="A44:G44"/>
    <mergeCell ref="A45:G45"/>
    <mergeCell ref="A28:G28"/>
    <mergeCell ref="A29:G29"/>
    <mergeCell ref="A30:G30"/>
    <mergeCell ref="A31:G31"/>
    <mergeCell ref="A33:G33"/>
    <mergeCell ref="A23:G23"/>
    <mergeCell ref="A24:G24"/>
    <mergeCell ref="A25:G25"/>
    <mergeCell ref="A26:G26"/>
    <mergeCell ref="A27:G27"/>
    <mergeCell ref="J10:K10"/>
    <mergeCell ref="B22:G22"/>
    <mergeCell ref="B12:G12"/>
    <mergeCell ref="J12:K12"/>
    <mergeCell ref="B13:G13"/>
    <mergeCell ref="B14:G14"/>
    <mergeCell ref="B15:G15"/>
    <mergeCell ref="B16:G16"/>
    <mergeCell ref="B17:G17"/>
    <mergeCell ref="B18:G18"/>
    <mergeCell ref="B19:G19"/>
    <mergeCell ref="B20:G20"/>
    <mergeCell ref="B21:G21"/>
    <mergeCell ref="B11:G11"/>
    <mergeCell ref="B1:C1"/>
    <mergeCell ref="F1:G1"/>
    <mergeCell ref="B2:G2"/>
    <mergeCell ref="B4:G4"/>
    <mergeCell ref="B5:G5"/>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基本!$B$25:$B$29</xm:f>
          </x14:formula1>
          <xm:sqref>I7</xm:sqref>
        </x14:dataValidation>
        <x14:dataValidation type="list" allowBlank="1" showInputMessage="1" showErrorMessage="1">
          <x14:formula1>
            <xm:f>基本!$A$14:$A$17</xm:f>
          </x14:formula1>
          <xm:sqref>K9</xm:sqref>
        </x14:dataValidation>
        <x14:dataValidation type="list" allowBlank="1" showInputMessage="1" showErrorMessage="1">
          <x14:formula1>
            <xm:f>基本!$A$5:$A$10</xm:f>
          </x14:formula1>
          <xm:sqref>I11 I9</xm:sqref>
        </x14:dataValidation>
        <x14:dataValidation type="list" allowBlank="1" showInputMessage="1" showErrorMessage="1">
          <x14:formula1>
            <xm:f>基本!$C$25:$C$35</xm:f>
          </x14:formula1>
          <xm:sqref>I15</xm:sqref>
        </x14:dataValidation>
        <x14:dataValidation type="list" allowBlank="1" showInputMessage="1" showErrorMessage="1">
          <x14:formula1>
            <xm:f>基本!$D$25:$D$29</xm:f>
          </x14:formula1>
          <xm:sqref>I8</xm:sqref>
        </x14:dataValidation>
        <x14:dataValidation type="list" allowBlank="1" showInputMessage="1" showErrorMessage="1">
          <x14:formula1>
            <xm:f>基本!$A$25:$A$31</xm:f>
          </x14:formula1>
          <xm:sqref>I6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3"/>
  <sheetViews>
    <sheetView topLeftCell="E1" workbookViewId="0">
      <selection activeCell="H21" sqref="H21"/>
    </sheetView>
  </sheetViews>
  <sheetFormatPr defaultRowHeight="13.5"/>
  <cols>
    <col min="1" max="1" width="7.875" style="132" customWidth="1"/>
    <col min="2" max="2" width="8.5" style="132" customWidth="1"/>
    <col min="3" max="3" width="6.625" style="132" customWidth="1"/>
    <col min="4" max="4" width="15.75" style="132" customWidth="1"/>
    <col min="5" max="6" width="15.75" style="94" customWidth="1"/>
    <col min="7" max="7" width="18.25" style="94" customWidth="1"/>
    <col min="8" max="8" width="17.375" style="94" customWidth="1"/>
    <col min="9" max="9" width="14.625" style="94" customWidth="1"/>
    <col min="10" max="10" width="8.375" style="94" customWidth="1"/>
    <col min="11" max="11" width="7.5" style="94" customWidth="1"/>
    <col min="12" max="12" width="7.875" style="132" customWidth="1"/>
    <col min="13" max="13" width="9.25" style="132" customWidth="1"/>
    <col min="14" max="14" width="12.375" style="132" customWidth="1"/>
    <col min="15" max="16384" width="9" style="132"/>
  </cols>
  <sheetData>
    <row r="1" spans="1:13" ht="21">
      <c r="A1" s="11" t="s">
        <v>499</v>
      </c>
      <c r="B1" s="392">
        <v>2</v>
      </c>
      <c r="C1" s="393"/>
      <c r="D1" s="13" t="s">
        <v>39</v>
      </c>
      <c r="E1" s="12" t="s">
        <v>518</v>
      </c>
      <c r="F1" s="394"/>
      <c r="G1" s="395"/>
      <c r="H1" s="100" t="s">
        <v>54</v>
      </c>
    </row>
    <row r="2" spans="1:13" ht="24.75" customHeight="1">
      <c r="A2" s="13" t="s">
        <v>0</v>
      </c>
      <c r="B2" s="396" t="s">
        <v>519</v>
      </c>
      <c r="C2" s="396"/>
      <c r="D2" s="396"/>
      <c r="E2" s="396"/>
      <c r="F2" s="396"/>
      <c r="G2" s="396"/>
      <c r="H2" s="100" t="s">
        <v>55</v>
      </c>
    </row>
    <row r="3" spans="1:13" ht="19.5" customHeight="1">
      <c r="A3" s="99" t="s">
        <v>47</v>
      </c>
      <c r="B3" s="94"/>
      <c r="C3" s="94"/>
      <c r="D3" s="94"/>
      <c r="I3" s="100"/>
    </row>
    <row r="4" spans="1:13">
      <c r="A4" s="101" t="s">
        <v>45</v>
      </c>
      <c r="B4" s="397" t="s">
        <v>520</v>
      </c>
      <c r="C4" s="398"/>
      <c r="D4" s="398"/>
      <c r="E4" s="398"/>
      <c r="F4" s="398"/>
      <c r="G4" s="399"/>
    </row>
    <row r="5" spans="1:13">
      <c r="A5" s="102" t="s">
        <v>502</v>
      </c>
      <c r="B5" s="397" t="s">
        <v>521</v>
      </c>
      <c r="C5" s="398"/>
      <c r="D5" s="398"/>
      <c r="E5" s="398"/>
      <c r="F5" s="398"/>
      <c r="G5" s="399"/>
    </row>
    <row r="6" spans="1:13">
      <c r="A6" s="102" t="s">
        <v>504</v>
      </c>
      <c r="B6" s="583" t="s">
        <v>522</v>
      </c>
      <c r="C6" s="584"/>
      <c r="D6" s="585"/>
      <c r="E6" s="267" t="s">
        <v>42</v>
      </c>
      <c r="F6" s="266" t="str">
        <f>IF($I$6 = 0,"", $I$6)</f>
        <v>使用者</v>
      </c>
      <c r="G6" s="266" t="str">
        <f>IF($J$6 = 0,"", $J$6)</f>
        <v/>
      </c>
      <c r="H6" s="286" t="s">
        <v>42</v>
      </c>
      <c r="I6" s="288" t="s">
        <v>91</v>
      </c>
      <c r="J6" s="288">
        <v>0</v>
      </c>
    </row>
    <row r="7" spans="1:13">
      <c r="A7" s="103" t="s">
        <v>5</v>
      </c>
      <c r="B7" s="397"/>
      <c r="C7" s="398"/>
      <c r="D7" s="399"/>
      <c r="E7" s="267" t="s">
        <v>67</v>
      </c>
      <c r="F7" s="266" t="str">
        <f>IF($I$7 = 0,"", $I$7)</f>
        <v/>
      </c>
      <c r="G7" s="266" t="str">
        <f>IF($J$7 = 0,"", $J$7)</f>
        <v/>
      </c>
      <c r="H7" s="286" t="s">
        <v>67</v>
      </c>
      <c r="I7" s="288"/>
      <c r="J7" s="288">
        <v>0</v>
      </c>
    </row>
    <row r="8" spans="1:13">
      <c r="A8" s="105" t="s">
        <v>62</v>
      </c>
      <c r="B8" s="485" t="s">
        <v>523</v>
      </c>
      <c r="C8" s="486"/>
      <c r="D8" s="486"/>
      <c r="E8" s="486"/>
      <c r="F8" s="486"/>
      <c r="G8" s="487"/>
      <c r="H8" s="286" t="s">
        <v>87</v>
      </c>
      <c r="I8" s="288" t="s">
        <v>124</v>
      </c>
      <c r="J8" s="100" t="s">
        <v>63</v>
      </c>
    </row>
    <row r="9" spans="1:13">
      <c r="A9" s="104"/>
      <c r="B9" s="576" t="s">
        <v>524</v>
      </c>
      <c r="C9" s="577"/>
      <c r="D9" s="577"/>
      <c r="E9" s="577"/>
      <c r="F9" s="577"/>
      <c r="G9" s="578"/>
      <c r="H9" s="286" t="s">
        <v>50</v>
      </c>
      <c r="I9" s="288" t="s">
        <v>13</v>
      </c>
      <c r="J9" s="287">
        <f>IF($I$9 = "筋力",基本!$C$5,IF($I$9 = "耐久力",基本!$C$6,IF($I$9 = "敏捷力",基本!$C$7,IF($I$9 = "知力",基本!$C$8,IF($I$9 = "判断力",基本!$C$9,IF($I$9 = "魅力",基本!$C$10,""))))))</f>
        <v>6</v>
      </c>
      <c r="K9" s="288" t="s">
        <v>19</v>
      </c>
    </row>
    <row r="10" spans="1:13">
      <c r="A10" s="111"/>
      <c r="B10" s="473" t="s">
        <v>525</v>
      </c>
      <c r="C10" s="474"/>
      <c r="D10" s="474"/>
      <c r="E10" s="474"/>
      <c r="F10" s="474"/>
      <c r="G10" s="475"/>
      <c r="H10" s="286" t="s">
        <v>59</v>
      </c>
      <c r="I10" s="288">
        <v>0</v>
      </c>
      <c r="J10" s="296" t="s">
        <v>52</v>
      </c>
      <c r="K10" s="297"/>
      <c r="L10" s="287">
        <f>IF($I$8=基本!$F$4,基本!$O$7,IF($I$8=基本!$F$13,基本!$O$16,IF($I$8=基本!$F$22,基本!$O$25,IF($I$8=基本!$F$31,基本!$O$34,IF($I$8=基本!$F$40,基本!$O$43,0)))))</f>
        <v>17</v>
      </c>
    </row>
    <row r="11" spans="1:13">
      <c r="A11" s="104"/>
      <c r="B11" s="582"/>
      <c r="C11" s="577"/>
      <c r="D11" s="577"/>
      <c r="E11" s="577"/>
      <c r="F11" s="577"/>
      <c r="G11" s="578"/>
      <c r="H11" s="108" t="s">
        <v>51</v>
      </c>
      <c r="I11" s="288" t="s">
        <v>13</v>
      </c>
      <c r="J11" s="110">
        <f>IF($I$9 = "筋力",基本!$C$5,IF($I$11 = "耐久力",基本!$C$6,IF($I$11 = "敏捷力",基本!$C$7,IF($I$11 = "知力",基本!$C$8,IF($I$11 = "判断力",基本!$C$9,IF($I$11 = "魅力",基本!$C$10,""))))))</f>
        <v>6</v>
      </c>
      <c r="L11" s="94"/>
    </row>
    <row r="12" spans="1:13" ht="17.25">
      <c r="A12" s="104"/>
      <c r="B12" s="579"/>
      <c r="C12" s="580"/>
      <c r="D12" s="580"/>
      <c r="E12" s="580"/>
      <c r="F12" s="580"/>
      <c r="G12" s="581"/>
      <c r="H12" s="286" t="s">
        <v>60</v>
      </c>
      <c r="I12" s="288">
        <v>0</v>
      </c>
      <c r="J12" s="296" t="s">
        <v>53</v>
      </c>
      <c r="K12" s="297"/>
      <c r="L12" s="287">
        <f>IF($I$8=基本!$F$4,基本!$O$9,IF($I$8=基本!$F$13,基本!$O$18,IF($I$8=基本!$F$22,基本!$O$27,IF($I$8=基本!$F$31,基本!$O$36,IF($I$8=基本!$F$40,基本!$O$45,0)))))</f>
        <v>6</v>
      </c>
    </row>
    <row r="13" spans="1:13">
      <c r="A13" s="104"/>
      <c r="B13" s="566"/>
      <c r="C13" s="567"/>
      <c r="D13" s="567"/>
      <c r="E13" s="567"/>
      <c r="F13" s="567"/>
      <c r="G13" s="568"/>
      <c r="H13" s="109" t="s">
        <v>88</v>
      </c>
      <c r="I13" s="288">
        <v>2</v>
      </c>
      <c r="J13" s="286" t="s">
        <v>43</v>
      </c>
      <c r="K13" s="288">
        <v>6</v>
      </c>
      <c r="L13" s="288">
        <v>6</v>
      </c>
      <c r="M13" s="147" t="s">
        <v>166</v>
      </c>
    </row>
    <row r="14" spans="1:13">
      <c r="A14" s="104"/>
      <c r="B14" s="372"/>
      <c r="C14" s="365"/>
      <c r="D14" s="365"/>
      <c r="E14" s="365"/>
      <c r="F14" s="365"/>
      <c r="G14" s="366"/>
      <c r="H14" s="286" t="s">
        <v>49</v>
      </c>
      <c r="I14" s="288">
        <v>4</v>
      </c>
      <c r="J14" s="286" t="s">
        <v>43</v>
      </c>
      <c r="K14" s="288">
        <v>12</v>
      </c>
    </row>
    <row r="15" spans="1:13" ht="25.5">
      <c r="A15" s="104"/>
      <c r="B15" s="569" t="s">
        <v>526</v>
      </c>
      <c r="C15" s="570"/>
      <c r="D15" s="570"/>
      <c r="E15" s="570"/>
      <c r="F15" s="570"/>
      <c r="G15" s="571"/>
      <c r="H15" s="286" t="s">
        <v>61</v>
      </c>
      <c r="I15" s="288"/>
    </row>
    <row r="16" spans="1:13">
      <c r="A16" s="104"/>
      <c r="B16" s="372"/>
      <c r="C16" s="365"/>
      <c r="D16" s="365"/>
      <c r="E16" s="365"/>
      <c r="F16" s="365"/>
      <c r="G16" s="366"/>
      <c r="H16" s="286" t="s">
        <v>130</v>
      </c>
      <c r="I16" s="119">
        <f>基本!$B$21</f>
        <v>3</v>
      </c>
      <c r="J16" s="286" t="s">
        <v>43</v>
      </c>
      <c r="K16" s="119">
        <f>基本!$D$21</f>
        <v>8</v>
      </c>
    </row>
    <row r="17" spans="1:12" ht="13.5" customHeight="1">
      <c r="A17" s="104"/>
      <c r="B17" s="572"/>
      <c r="C17" s="573"/>
      <c r="D17" s="573"/>
      <c r="E17" s="573"/>
      <c r="F17" s="573"/>
      <c r="G17" s="574"/>
      <c r="H17" s="138" t="s">
        <v>167</v>
      </c>
      <c r="I17" s="119">
        <f>基本!$B$23</f>
        <v>1</v>
      </c>
      <c r="J17" s="139" t="s">
        <v>43</v>
      </c>
      <c r="K17" s="119">
        <f>基本!$D$23</f>
        <v>10</v>
      </c>
    </row>
    <row r="18" spans="1:12">
      <c r="A18" s="104"/>
      <c r="B18" s="575"/>
      <c r="C18" s="474"/>
      <c r="D18" s="474"/>
      <c r="E18" s="474"/>
      <c r="F18" s="474"/>
      <c r="G18" s="475"/>
      <c r="J18" s="132"/>
      <c r="K18" s="132"/>
    </row>
    <row r="19" spans="1:12">
      <c r="A19" s="104"/>
      <c r="B19" s="372"/>
      <c r="C19" s="365"/>
      <c r="D19" s="365"/>
      <c r="E19" s="365"/>
      <c r="F19" s="365"/>
      <c r="G19" s="366"/>
      <c r="J19" s="132"/>
      <c r="K19" s="132"/>
    </row>
    <row r="20" spans="1:12">
      <c r="A20" s="104"/>
      <c r="B20" s="372"/>
      <c r="C20" s="365"/>
      <c r="D20" s="365"/>
      <c r="E20" s="365"/>
      <c r="F20" s="365"/>
      <c r="G20" s="366"/>
      <c r="J20" s="132"/>
      <c r="K20" s="132"/>
    </row>
    <row r="21" spans="1:12">
      <c r="A21" s="104"/>
      <c r="B21" s="372"/>
      <c r="C21" s="365"/>
      <c r="D21" s="365"/>
      <c r="E21" s="365"/>
      <c r="F21" s="365"/>
      <c r="G21" s="366"/>
      <c r="J21" s="132"/>
      <c r="K21" s="132"/>
    </row>
    <row r="22" spans="1:12">
      <c r="A22" s="106"/>
      <c r="B22" s="406"/>
      <c r="C22" s="368"/>
      <c r="D22" s="368"/>
      <c r="E22" s="368"/>
      <c r="F22" s="368"/>
      <c r="G22" s="369"/>
      <c r="J22" s="132"/>
      <c r="K22" s="132"/>
    </row>
    <row r="23" spans="1:12" ht="24" customHeight="1">
      <c r="A23" s="360" t="s">
        <v>235</v>
      </c>
      <c r="B23" s="360"/>
      <c r="C23" s="360"/>
      <c r="D23" s="360"/>
      <c r="E23" s="360"/>
      <c r="F23" s="360"/>
      <c r="G23" s="360"/>
      <c r="I23" s="132"/>
      <c r="J23" s="132"/>
      <c r="K23" s="132"/>
    </row>
    <row r="24" spans="1:12" ht="13.5" customHeight="1">
      <c r="A24" s="361" t="s">
        <v>236</v>
      </c>
      <c r="B24" s="361"/>
      <c r="C24" s="361"/>
      <c r="D24" s="361"/>
      <c r="E24" s="361"/>
      <c r="F24" s="361"/>
      <c r="G24" s="361"/>
    </row>
    <row r="25" spans="1:12" ht="13.5" customHeight="1">
      <c r="A25" s="361" t="s">
        <v>237</v>
      </c>
      <c r="B25" s="361"/>
      <c r="C25" s="361"/>
      <c r="D25" s="361"/>
      <c r="E25" s="361"/>
      <c r="F25" s="361"/>
      <c r="G25" s="361"/>
    </row>
    <row r="26" spans="1:12">
      <c r="A26" s="368"/>
      <c r="B26" s="368"/>
      <c r="C26" s="368"/>
      <c r="D26" s="368"/>
      <c r="E26" s="368"/>
      <c r="F26" s="368"/>
      <c r="G26" s="368"/>
    </row>
    <row r="27" spans="1:12">
      <c r="A27" s="416" t="s">
        <v>48</v>
      </c>
      <c r="B27" s="417"/>
      <c r="C27" s="417"/>
      <c r="D27" s="417"/>
      <c r="E27" s="417"/>
      <c r="F27" s="417"/>
      <c r="G27" s="418"/>
    </row>
    <row r="28" spans="1:12" s="94" customFormat="1" ht="14.25">
      <c r="A28" s="530"/>
      <c r="B28" s="360"/>
      <c r="C28" s="360"/>
      <c r="D28" s="360"/>
      <c r="E28" s="360"/>
      <c r="F28" s="360"/>
      <c r="G28" s="531"/>
      <c r="L28" s="132"/>
    </row>
    <row r="29" spans="1:12" s="94" customFormat="1" ht="25.5" customHeight="1">
      <c r="A29" s="558" t="s">
        <v>527</v>
      </c>
      <c r="B29" s="559"/>
      <c r="C29" s="559"/>
      <c r="D29" s="559"/>
      <c r="E29" s="559"/>
      <c r="F29" s="559"/>
      <c r="G29" s="560"/>
      <c r="L29" s="132"/>
    </row>
    <row r="30" spans="1:12" s="94" customFormat="1">
      <c r="A30" s="372"/>
      <c r="B30" s="561"/>
      <c r="C30" s="561"/>
      <c r="D30" s="561"/>
      <c r="E30" s="561"/>
      <c r="F30" s="561"/>
      <c r="G30" s="562"/>
      <c r="L30" s="132"/>
    </row>
    <row r="31" spans="1:12" s="94" customFormat="1" ht="21" customHeight="1">
      <c r="A31" s="550" t="s">
        <v>528</v>
      </c>
      <c r="B31" s="551"/>
      <c r="C31" s="551"/>
      <c r="D31" s="551"/>
      <c r="E31" s="551"/>
      <c r="F31" s="551"/>
      <c r="G31" s="552"/>
      <c r="L31" s="132"/>
    </row>
    <row r="32" spans="1:12" s="94" customFormat="1">
      <c r="A32" s="563"/>
      <c r="B32" s="564"/>
      <c r="C32" s="564"/>
      <c r="D32" s="564"/>
      <c r="E32" s="564"/>
      <c r="F32" s="564"/>
      <c r="G32" s="565"/>
      <c r="L32" s="132"/>
    </row>
    <row r="33" spans="1:12" s="94" customFormat="1">
      <c r="A33" s="535" t="s">
        <v>529</v>
      </c>
      <c r="B33" s="436"/>
      <c r="C33" s="436"/>
      <c r="D33" s="436"/>
      <c r="E33" s="436" t="s">
        <v>530</v>
      </c>
      <c r="F33" s="436"/>
      <c r="G33" s="272"/>
      <c r="L33" s="132"/>
    </row>
    <row r="34" spans="1:12" s="94" customFormat="1">
      <c r="A34" s="535" t="s">
        <v>531</v>
      </c>
      <c r="B34" s="436"/>
      <c r="C34" s="436"/>
      <c r="D34" s="436"/>
      <c r="E34" s="436" t="s">
        <v>532</v>
      </c>
      <c r="F34" s="436"/>
      <c r="G34" s="272"/>
      <c r="L34" s="132"/>
    </row>
    <row r="35" spans="1:12" s="94" customFormat="1">
      <c r="A35" s="535" t="s">
        <v>533</v>
      </c>
      <c r="B35" s="436"/>
      <c r="C35" s="436"/>
      <c r="D35" s="436"/>
      <c r="E35" s="556" t="s">
        <v>534</v>
      </c>
      <c r="F35" s="557"/>
      <c r="G35" s="272"/>
      <c r="L35" s="132"/>
    </row>
    <row r="36" spans="1:12" s="94" customFormat="1">
      <c r="A36" s="535"/>
      <c r="B36" s="436"/>
      <c r="C36" s="436"/>
      <c r="D36" s="436"/>
      <c r="E36" s="436"/>
      <c r="F36" s="436"/>
      <c r="G36" s="272"/>
      <c r="L36" s="132"/>
    </row>
    <row r="37" spans="1:12" s="94" customFormat="1" ht="13.5" customHeight="1">
      <c r="A37" s="372" t="s">
        <v>535</v>
      </c>
      <c r="B37" s="365"/>
      <c r="C37" s="365"/>
      <c r="D37" s="365"/>
      <c r="E37" s="365"/>
      <c r="F37" s="365"/>
      <c r="G37" s="366"/>
      <c r="L37" s="132"/>
    </row>
    <row r="38" spans="1:12">
      <c r="A38" s="372" t="s">
        <v>536</v>
      </c>
      <c r="B38" s="365"/>
      <c r="C38" s="365"/>
      <c r="D38" s="365"/>
      <c r="E38" s="365"/>
      <c r="F38" s="365"/>
      <c r="G38" s="366"/>
    </row>
    <row r="39" spans="1:12" s="94" customFormat="1">
      <c r="A39" s="372"/>
      <c r="B39" s="365"/>
      <c r="C39" s="365"/>
      <c r="D39" s="365"/>
      <c r="E39" s="365"/>
      <c r="F39" s="365"/>
      <c r="G39" s="366"/>
      <c r="L39" s="132"/>
    </row>
    <row r="40" spans="1:12" s="94" customFormat="1" ht="19.5" customHeight="1">
      <c r="A40" s="550" t="s">
        <v>537</v>
      </c>
      <c r="B40" s="551"/>
      <c r="C40" s="551"/>
      <c r="D40" s="551"/>
      <c r="E40" s="551"/>
      <c r="F40" s="551"/>
      <c r="G40" s="552"/>
      <c r="L40" s="132"/>
    </row>
    <row r="41" spans="1:12">
      <c r="A41" s="372"/>
      <c r="B41" s="365"/>
      <c r="C41" s="365"/>
      <c r="D41" s="365"/>
      <c r="E41" s="365"/>
      <c r="F41" s="365"/>
      <c r="G41" s="366"/>
    </row>
    <row r="42" spans="1:12" s="94" customFormat="1">
      <c r="A42" s="372"/>
      <c r="B42" s="365"/>
      <c r="C42" s="365"/>
      <c r="D42" s="365"/>
      <c r="E42" s="365"/>
      <c r="F42" s="365"/>
      <c r="G42" s="366"/>
      <c r="L42" s="132"/>
    </row>
    <row r="43" spans="1:12" s="94" customFormat="1">
      <c r="A43" s="372"/>
      <c r="B43" s="365"/>
      <c r="C43" s="365"/>
      <c r="D43" s="365"/>
      <c r="E43" s="365"/>
      <c r="F43" s="365"/>
      <c r="G43" s="366"/>
      <c r="L43" s="132"/>
    </row>
    <row r="44" spans="1:12">
      <c r="A44" s="372"/>
      <c r="B44" s="365"/>
      <c r="C44" s="365"/>
      <c r="D44" s="365"/>
      <c r="E44" s="365"/>
      <c r="F44" s="365"/>
      <c r="G44" s="366"/>
    </row>
    <row r="45" spans="1:12" s="94" customFormat="1" ht="17.25">
      <c r="A45" s="553"/>
      <c r="B45" s="554"/>
      <c r="C45" s="554"/>
      <c r="D45" s="554"/>
      <c r="E45" s="554"/>
      <c r="F45" s="554"/>
      <c r="G45" s="555"/>
      <c r="L45" s="132"/>
    </row>
    <row r="46" spans="1:12" s="94" customFormat="1">
      <c r="A46" s="372"/>
      <c r="B46" s="365"/>
      <c r="C46" s="365"/>
      <c r="D46" s="365"/>
      <c r="E46" s="365"/>
      <c r="F46" s="365"/>
      <c r="G46" s="366"/>
      <c r="L46" s="132"/>
    </row>
    <row r="47" spans="1:12" s="94" customFormat="1">
      <c r="A47" s="372"/>
      <c r="B47" s="365"/>
      <c r="C47" s="365"/>
      <c r="D47" s="365"/>
      <c r="E47" s="365"/>
      <c r="F47" s="365"/>
      <c r="G47" s="366"/>
      <c r="L47" s="132"/>
    </row>
    <row r="48" spans="1:12" s="94" customFormat="1">
      <c r="A48" s="372"/>
      <c r="B48" s="365"/>
      <c r="C48" s="365"/>
      <c r="D48" s="365"/>
      <c r="E48" s="365"/>
      <c r="F48" s="365"/>
      <c r="G48" s="366"/>
      <c r="L48" s="132"/>
    </row>
    <row r="49" spans="1:12" s="94" customFormat="1">
      <c r="A49" s="372"/>
      <c r="B49" s="365"/>
      <c r="C49" s="365"/>
      <c r="D49" s="365"/>
      <c r="E49" s="365"/>
      <c r="F49" s="365"/>
      <c r="G49" s="366"/>
      <c r="L49" s="132"/>
    </row>
    <row r="50" spans="1:12" s="94" customFormat="1">
      <c r="A50" s="372"/>
      <c r="B50" s="365"/>
      <c r="C50" s="365"/>
      <c r="D50" s="365"/>
      <c r="E50" s="365"/>
      <c r="F50" s="365"/>
      <c r="G50" s="366"/>
      <c r="L50" s="132"/>
    </row>
    <row r="51" spans="1:12" s="94" customFormat="1">
      <c r="A51" s="372"/>
      <c r="B51" s="365"/>
      <c r="C51" s="365"/>
      <c r="D51" s="365"/>
      <c r="E51" s="365"/>
      <c r="F51" s="365"/>
      <c r="G51" s="366"/>
      <c r="L51" s="132"/>
    </row>
    <row r="52" spans="1:12" s="94" customFormat="1">
      <c r="A52" s="406"/>
      <c r="B52" s="368"/>
      <c r="C52" s="368"/>
      <c r="D52" s="368"/>
      <c r="E52" s="368"/>
      <c r="F52" s="368"/>
      <c r="G52" s="369"/>
      <c r="L52" s="132"/>
    </row>
    <row r="53" spans="1:12" s="94" customFormat="1" ht="21">
      <c r="A53" s="83" t="s">
        <v>499</v>
      </c>
      <c r="B53" s="271">
        <f>$B$1</f>
        <v>2</v>
      </c>
      <c r="C53" s="84" t="s">
        <v>39</v>
      </c>
      <c r="D53" s="85" t="str">
        <f>$E$1</f>
        <v>無限回</v>
      </c>
      <c r="E53" s="407" t="str">
        <f>$B$2</f>
        <v>ファスト･ハンズ</v>
      </c>
      <c r="F53" s="408"/>
      <c r="G53" s="409"/>
      <c r="L53" s="132"/>
    </row>
  </sheetData>
  <mergeCells count="59">
    <mergeCell ref="J10:K10"/>
    <mergeCell ref="B11:G11"/>
    <mergeCell ref="B1:C1"/>
    <mergeCell ref="F1:G1"/>
    <mergeCell ref="B2:G2"/>
    <mergeCell ref="B4:G4"/>
    <mergeCell ref="B5:G5"/>
    <mergeCell ref="B6:D6"/>
    <mergeCell ref="B16:G16"/>
    <mergeCell ref="B7:D7"/>
    <mergeCell ref="B8:G8"/>
    <mergeCell ref="B9:G9"/>
    <mergeCell ref="B10:G10"/>
    <mergeCell ref="B12:G12"/>
    <mergeCell ref="J12:K12"/>
    <mergeCell ref="B13:G13"/>
    <mergeCell ref="B14:G14"/>
    <mergeCell ref="B15:G15"/>
    <mergeCell ref="A28:G28"/>
    <mergeCell ref="B17:G17"/>
    <mergeCell ref="B18:G18"/>
    <mergeCell ref="B19:G19"/>
    <mergeCell ref="B20:G20"/>
    <mergeCell ref="B21:G21"/>
    <mergeCell ref="B22:G22"/>
    <mergeCell ref="A23:G23"/>
    <mergeCell ref="A24:G24"/>
    <mergeCell ref="A25:G25"/>
    <mergeCell ref="A26:G26"/>
    <mergeCell ref="A27:G27"/>
    <mergeCell ref="A29:G29"/>
    <mergeCell ref="A30:G30"/>
    <mergeCell ref="A31:G31"/>
    <mergeCell ref="A32:G32"/>
    <mergeCell ref="A33:D33"/>
    <mergeCell ref="E33:F33"/>
    <mergeCell ref="A34:D34"/>
    <mergeCell ref="E34:F34"/>
    <mergeCell ref="A35:D35"/>
    <mergeCell ref="E35:F35"/>
    <mergeCell ref="A36:D36"/>
    <mergeCell ref="E36:F36"/>
    <mergeCell ref="A48:G48"/>
    <mergeCell ref="A37:G37"/>
    <mergeCell ref="A38:G38"/>
    <mergeCell ref="A39:G39"/>
    <mergeCell ref="A40:G40"/>
    <mergeCell ref="A41:G41"/>
    <mergeCell ref="A42:G42"/>
    <mergeCell ref="A43:G43"/>
    <mergeCell ref="A44:G44"/>
    <mergeCell ref="A45:G45"/>
    <mergeCell ref="A46:G46"/>
    <mergeCell ref="A47:G47"/>
    <mergeCell ref="A49:G49"/>
    <mergeCell ref="A50:G50"/>
    <mergeCell ref="A51:G51"/>
    <mergeCell ref="A52:G52"/>
    <mergeCell ref="E53:G53"/>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基本!$A$25:$A$31</xm:f>
          </x14:formula1>
          <xm:sqref>I6</xm:sqref>
        </x14:dataValidation>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xm:sqref>
        </x14:dataValidation>
        <x14:dataValidation type="list" allowBlank="1" showInputMessage="1" showErrorMessage="1">
          <x14:formula1>
            <xm:f>基本!$A$5:$A$10</xm:f>
          </x14:formula1>
          <xm:sqref>I11 I9</xm:sqref>
        </x14:dataValidation>
        <x14:dataValidation type="list" allowBlank="1" showInputMessage="1" showErrorMessage="1">
          <x14:formula1>
            <xm:f>基本!$A$14:$A$17</xm:f>
          </x14:formula1>
          <xm:sqref>K9</xm:sqref>
        </x14:dataValidation>
        <x14:dataValidation type="list" allowBlank="1" showInputMessage="1" showErrorMessage="1">
          <x14:formula1>
            <xm:f>基本!$B$25:$B$29</xm:f>
          </x14:formula1>
          <xm:sqref>I7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7"/>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116" t="s">
        <v>31</v>
      </c>
      <c r="B1" s="455">
        <v>6</v>
      </c>
      <c r="C1" s="456"/>
      <c r="D1" s="117" t="s">
        <v>39</v>
      </c>
      <c r="E1" s="118" t="s">
        <v>116</v>
      </c>
      <c r="F1" s="457"/>
      <c r="G1" s="458"/>
      <c r="H1" s="15" t="s">
        <v>54</v>
      </c>
    </row>
    <row r="2" spans="1:13" ht="24.75" customHeight="1">
      <c r="A2" s="117" t="s">
        <v>0</v>
      </c>
      <c r="B2" s="459" t="s">
        <v>149</v>
      </c>
      <c r="C2" s="459"/>
      <c r="D2" s="459"/>
      <c r="E2" s="459"/>
      <c r="F2" s="459"/>
      <c r="G2" s="459"/>
      <c r="H2" s="15" t="s">
        <v>55</v>
      </c>
    </row>
    <row r="3" spans="1:13" ht="19.5" customHeight="1">
      <c r="A3" s="45" t="s">
        <v>47</v>
      </c>
      <c r="B3" s="1"/>
      <c r="C3" s="1"/>
      <c r="D3" s="1"/>
      <c r="I3" s="15"/>
    </row>
    <row r="4" spans="1:13">
      <c r="A4" s="16" t="s">
        <v>45</v>
      </c>
      <c r="B4" s="397" t="s">
        <v>146</v>
      </c>
      <c r="C4" s="398"/>
      <c r="D4" s="398"/>
      <c r="E4" s="398"/>
      <c r="F4" s="398"/>
      <c r="G4" s="399"/>
    </row>
    <row r="5" spans="1:13">
      <c r="A5" s="17" t="s">
        <v>38</v>
      </c>
      <c r="B5" s="397" t="s">
        <v>144</v>
      </c>
      <c r="C5" s="398"/>
      <c r="D5" s="398"/>
      <c r="E5" s="398"/>
      <c r="F5" s="398"/>
      <c r="G5" s="399"/>
    </row>
    <row r="6" spans="1:13">
      <c r="A6" s="17" t="s">
        <v>6</v>
      </c>
      <c r="B6" s="397" t="s">
        <v>145</v>
      </c>
      <c r="C6" s="398"/>
      <c r="D6" s="399"/>
      <c r="E6" s="149" t="s">
        <v>42</v>
      </c>
      <c r="F6" s="148" t="str">
        <f>IF($I$6 = 0,"", $I$6)</f>
        <v>使用者</v>
      </c>
      <c r="G6" s="148" t="str">
        <f>IF($J$6 = 0,"", $J$6)</f>
        <v/>
      </c>
      <c r="H6" s="52" t="s">
        <v>42</v>
      </c>
      <c r="I6" s="142" t="s">
        <v>91</v>
      </c>
      <c r="J6" s="53">
        <v>0</v>
      </c>
    </row>
    <row r="7" spans="1:13">
      <c r="A7" s="18" t="s">
        <v>5</v>
      </c>
      <c r="B7" s="397"/>
      <c r="C7" s="398"/>
      <c r="D7" s="399"/>
      <c r="E7" s="149" t="s">
        <v>67</v>
      </c>
      <c r="F7" s="148" t="str">
        <f>IF($I$7 = 0,"", $I$7)</f>
        <v/>
      </c>
      <c r="G7" s="119" t="str">
        <f>IF($J$7 = 0,"", $J$7)</f>
        <v/>
      </c>
      <c r="H7" s="52" t="s">
        <v>67</v>
      </c>
      <c r="I7" s="121"/>
      <c r="J7" s="53">
        <v>0</v>
      </c>
    </row>
    <row r="8" spans="1:13">
      <c r="A8" s="20" t="s">
        <v>62</v>
      </c>
      <c r="B8" s="400" t="s">
        <v>147</v>
      </c>
      <c r="C8" s="401"/>
      <c r="D8" s="401"/>
      <c r="E8" s="401"/>
      <c r="F8" s="401"/>
      <c r="G8" s="402"/>
      <c r="H8" s="52" t="s">
        <v>87</v>
      </c>
      <c r="I8" s="53" t="s">
        <v>108</v>
      </c>
      <c r="J8" s="15" t="s">
        <v>63</v>
      </c>
    </row>
    <row r="9" spans="1:13">
      <c r="A9" s="19"/>
      <c r="B9" s="576" t="s">
        <v>148</v>
      </c>
      <c r="C9" s="577"/>
      <c r="D9" s="577"/>
      <c r="E9" s="577"/>
      <c r="F9" s="577"/>
      <c r="G9" s="578"/>
      <c r="H9" s="52" t="s">
        <v>50</v>
      </c>
      <c r="I9" s="53" t="s">
        <v>15</v>
      </c>
      <c r="J9" s="51">
        <f>IF($I$9 = "筋力",基本!$C$5,IF($I$9 = "耐久力",基本!$C$6,IF($I$9 = "敏捷力",基本!$C$7,IF($I$9 = "知力",基本!$C$8,IF($I$9 = "判断力",基本!$C$9,IF($I$9 = "魅力",基本!$C$10,""))))))</f>
        <v>0</v>
      </c>
      <c r="K9" s="53" t="s">
        <v>19</v>
      </c>
    </row>
    <row r="10" spans="1:13">
      <c r="A10" s="48"/>
      <c r="B10" s="566"/>
      <c r="C10" s="567"/>
      <c r="D10" s="567"/>
      <c r="E10" s="567"/>
      <c r="F10" s="567"/>
      <c r="G10" s="568"/>
      <c r="H10" s="52" t="s">
        <v>59</v>
      </c>
      <c r="I10" s="53">
        <v>0</v>
      </c>
      <c r="J10" s="296" t="s">
        <v>52</v>
      </c>
      <c r="K10" s="297"/>
      <c r="L10" s="51">
        <f>IF($I$8=基本!$F$4,基本!$O$7,IF($I$8=基本!$F$13,基本!$O$16,IF($I$8=基本!$F$22,基本!$O$25,IF($I$8=基本!$F$31,基本!$O$34,IF($I$8=基本!$F$40,基本!$O$43,0)))))</f>
        <v>0</v>
      </c>
    </row>
    <row r="11" spans="1:13" ht="18.75">
      <c r="A11" s="19"/>
      <c r="B11" s="586"/>
      <c r="C11" s="587"/>
      <c r="D11" s="587"/>
      <c r="E11" s="587"/>
      <c r="F11" s="587"/>
      <c r="G11" s="588"/>
      <c r="H11" s="43" t="s">
        <v>51</v>
      </c>
      <c r="I11" s="53" t="s">
        <v>15</v>
      </c>
      <c r="J11" s="42">
        <f>IF($I$9 = "筋力",基本!$C$5,IF($I$11 = "耐久力",基本!$C$6,IF($I$11 = "敏捷力",基本!$C$7,IF($I$11 = "知力",基本!$C$8,IF($I$11 = "判断力",基本!$C$9,IF($I$11 = "魅力",基本!$C$10,""))))))</f>
        <v>0</v>
      </c>
      <c r="L11" s="1"/>
    </row>
    <row r="12" spans="1:13">
      <c r="A12" s="19"/>
      <c r="B12" s="576"/>
      <c r="C12" s="577"/>
      <c r="D12" s="577"/>
      <c r="E12" s="577"/>
      <c r="F12" s="577"/>
      <c r="G12" s="578"/>
      <c r="H12" s="52" t="s">
        <v>60</v>
      </c>
      <c r="I12" s="53">
        <v>0</v>
      </c>
      <c r="J12" s="296" t="s">
        <v>53</v>
      </c>
      <c r="K12" s="297"/>
      <c r="L12" s="51">
        <f>IF($I$8=基本!$F$4,基本!$O$9,IF($I$8=基本!$F$13,基本!$O$18,IF($I$8=基本!$F$22,基本!$O$27,IF($I$8=基本!$F$31,基本!$O$36,IF($I$8=基本!$F$40,基本!$O$45,0)))))</f>
        <v>0</v>
      </c>
    </row>
    <row r="13" spans="1:13">
      <c r="A13" s="19"/>
      <c r="B13" s="566"/>
      <c r="C13" s="567"/>
      <c r="D13" s="567"/>
      <c r="E13" s="567"/>
      <c r="F13" s="567"/>
      <c r="G13" s="568"/>
      <c r="H13" s="44" t="s">
        <v>88</v>
      </c>
      <c r="I13" s="53">
        <v>3</v>
      </c>
      <c r="J13" s="52" t="s">
        <v>43</v>
      </c>
      <c r="K13" s="53">
        <v>4</v>
      </c>
      <c r="L13" s="137">
        <v>6</v>
      </c>
      <c r="M13" s="147" t="s">
        <v>166</v>
      </c>
    </row>
    <row r="14" spans="1:13">
      <c r="A14" s="19"/>
      <c r="B14" s="372"/>
      <c r="C14" s="365"/>
      <c r="D14" s="365"/>
      <c r="E14" s="365"/>
      <c r="F14" s="365"/>
      <c r="G14" s="366"/>
      <c r="H14" s="52" t="s">
        <v>49</v>
      </c>
      <c r="I14" s="53">
        <v>4</v>
      </c>
      <c r="J14" s="52" t="s">
        <v>43</v>
      </c>
      <c r="K14" s="53">
        <v>12</v>
      </c>
    </row>
    <row r="15" spans="1:13">
      <c r="A15" s="19"/>
      <c r="B15" s="372"/>
      <c r="C15" s="365"/>
      <c r="D15" s="365"/>
      <c r="E15" s="365"/>
      <c r="F15" s="365"/>
      <c r="G15" s="366"/>
      <c r="H15" s="52" t="s">
        <v>61</v>
      </c>
      <c r="I15" s="53" t="s">
        <v>75</v>
      </c>
    </row>
    <row r="16" spans="1:13">
      <c r="A16" s="19"/>
      <c r="B16" s="372"/>
      <c r="C16" s="365"/>
      <c r="D16" s="365"/>
      <c r="E16" s="365"/>
      <c r="F16" s="365"/>
      <c r="G16" s="366"/>
      <c r="H16" s="77" t="s">
        <v>130</v>
      </c>
      <c r="I16" s="119">
        <f>基本!$B$21</f>
        <v>3</v>
      </c>
      <c r="J16" s="77" t="s">
        <v>43</v>
      </c>
      <c r="K16" s="119">
        <f>基本!$D$21</f>
        <v>8</v>
      </c>
      <c r="L16" s="132"/>
    </row>
    <row r="17" spans="1:12">
      <c r="A17" s="19"/>
      <c r="B17" s="372"/>
      <c r="C17" s="365"/>
      <c r="D17" s="365"/>
      <c r="E17" s="365"/>
      <c r="F17" s="365"/>
      <c r="G17" s="366"/>
      <c r="H17" s="138" t="s">
        <v>167</v>
      </c>
      <c r="I17" s="119">
        <f>基本!$B$23</f>
        <v>1</v>
      </c>
      <c r="J17" s="139" t="s">
        <v>43</v>
      </c>
      <c r="K17" s="119">
        <f>基本!$D$23</f>
        <v>10</v>
      </c>
    </row>
    <row r="18" spans="1:12">
      <c r="A18" s="19"/>
      <c r="B18" s="575"/>
      <c r="C18" s="474"/>
      <c r="D18" s="474"/>
      <c r="E18" s="474"/>
      <c r="F18" s="474"/>
      <c r="G18" s="475"/>
      <c r="J18"/>
      <c r="K18"/>
    </row>
    <row r="19" spans="1:12">
      <c r="A19" s="19"/>
      <c r="B19" s="372"/>
      <c r="C19" s="365"/>
      <c r="D19" s="365"/>
      <c r="E19" s="365"/>
      <c r="F19" s="365"/>
      <c r="G19" s="366"/>
      <c r="H19" s="144" t="s">
        <v>230</v>
      </c>
      <c r="J19"/>
      <c r="K19"/>
    </row>
    <row r="20" spans="1:12">
      <c r="A20" s="19"/>
      <c r="B20" s="372"/>
      <c r="C20" s="365"/>
      <c r="D20" s="365"/>
      <c r="E20" s="365"/>
      <c r="F20" s="365"/>
      <c r="G20" s="366"/>
      <c r="J20"/>
      <c r="K20"/>
    </row>
    <row r="21" spans="1:12">
      <c r="A21" s="19"/>
      <c r="B21" s="372"/>
      <c r="C21" s="365"/>
      <c r="D21" s="365"/>
      <c r="E21" s="365"/>
      <c r="F21" s="365"/>
      <c r="G21" s="366"/>
      <c r="J21"/>
      <c r="K21"/>
    </row>
    <row r="22" spans="1:12">
      <c r="A22" s="21"/>
      <c r="B22" s="406"/>
      <c r="C22" s="368"/>
      <c r="D22" s="368"/>
      <c r="E22" s="368"/>
      <c r="F22" s="368"/>
      <c r="G22" s="369"/>
      <c r="J22"/>
      <c r="K22"/>
    </row>
    <row r="23" spans="1:12" s="132" customFormat="1" ht="24" customHeight="1">
      <c r="A23" s="360" t="s">
        <v>235</v>
      </c>
      <c r="B23" s="360"/>
      <c r="C23" s="360"/>
      <c r="D23" s="360"/>
      <c r="E23" s="360"/>
      <c r="F23" s="360"/>
      <c r="G23" s="360"/>
      <c r="H23" s="94"/>
    </row>
    <row r="24" spans="1:12" s="132" customFormat="1" ht="13.5" customHeight="1">
      <c r="A24" s="361" t="s">
        <v>236</v>
      </c>
      <c r="B24" s="361"/>
      <c r="C24" s="361"/>
      <c r="D24" s="361"/>
      <c r="E24" s="361"/>
      <c r="F24" s="361"/>
      <c r="G24" s="361"/>
      <c r="H24" s="94"/>
      <c r="I24" s="94"/>
      <c r="J24" s="94"/>
      <c r="K24" s="94"/>
    </row>
    <row r="25" spans="1:12" s="132" customFormat="1" ht="13.5" customHeight="1">
      <c r="A25" s="361" t="s">
        <v>237</v>
      </c>
      <c r="B25" s="361"/>
      <c r="C25" s="361"/>
      <c r="D25" s="361"/>
      <c r="E25" s="361"/>
      <c r="F25" s="361"/>
      <c r="G25" s="361"/>
      <c r="H25" s="94"/>
      <c r="I25" s="94"/>
      <c r="J25" s="94"/>
      <c r="K25" s="94"/>
    </row>
    <row r="26" spans="1:12">
      <c r="A26" s="368"/>
      <c r="B26" s="368"/>
      <c r="C26" s="368"/>
      <c r="D26" s="368"/>
      <c r="E26" s="368"/>
      <c r="F26" s="368"/>
      <c r="G26" s="368"/>
    </row>
    <row r="27" spans="1:12">
      <c r="A27" s="416" t="s">
        <v>48</v>
      </c>
      <c r="B27" s="417"/>
      <c r="C27" s="417"/>
      <c r="D27" s="417"/>
      <c r="E27" s="417"/>
      <c r="F27" s="417"/>
      <c r="G27" s="418"/>
    </row>
    <row r="28" spans="1:12" s="1" customFormat="1" ht="24" customHeight="1">
      <c r="A28" s="373" t="s">
        <v>262</v>
      </c>
      <c r="B28" s="374"/>
      <c r="C28" s="374"/>
      <c r="D28" s="374"/>
      <c r="E28" s="374"/>
      <c r="F28" s="374"/>
      <c r="G28" s="375"/>
      <c r="L28"/>
    </row>
    <row r="29" spans="1:12" s="1" customFormat="1">
      <c r="A29" s="372"/>
      <c r="B29" s="365"/>
      <c r="C29" s="365"/>
      <c r="D29" s="365"/>
      <c r="E29" s="365"/>
      <c r="F29" s="365"/>
      <c r="G29" s="366"/>
      <c r="L29"/>
    </row>
    <row r="30" spans="1:12" s="1" customFormat="1">
      <c r="A30" s="372" t="s">
        <v>260</v>
      </c>
      <c r="B30" s="365"/>
      <c r="C30" s="365"/>
      <c r="D30" s="365"/>
      <c r="E30" s="365"/>
      <c r="F30" s="365"/>
      <c r="G30" s="366"/>
      <c r="L30"/>
    </row>
    <row r="31" spans="1:12" s="1" customFormat="1">
      <c r="A31" s="372" t="s">
        <v>257</v>
      </c>
      <c r="B31" s="365"/>
      <c r="C31" s="365"/>
      <c r="D31" s="365"/>
      <c r="E31" s="365"/>
      <c r="F31" s="365"/>
      <c r="G31" s="366"/>
      <c r="L31"/>
    </row>
    <row r="32" spans="1:12" s="94" customFormat="1">
      <c r="A32" s="372"/>
      <c r="B32" s="365"/>
      <c r="C32" s="365"/>
      <c r="D32" s="365"/>
      <c r="E32" s="365"/>
      <c r="F32" s="365"/>
      <c r="G32" s="366"/>
      <c r="L32" s="132"/>
    </row>
    <row r="33" spans="1:12">
      <c r="A33" s="372" t="s">
        <v>261</v>
      </c>
      <c r="B33" s="365"/>
      <c r="C33" s="365"/>
      <c r="D33" s="365"/>
      <c r="E33" s="365"/>
      <c r="F33" s="365"/>
      <c r="G33" s="366"/>
    </row>
    <row r="34" spans="1:12" s="1" customFormat="1">
      <c r="A34" s="372" t="s">
        <v>258</v>
      </c>
      <c r="B34" s="365"/>
      <c r="C34" s="365"/>
      <c r="D34" s="365"/>
      <c r="E34" s="365"/>
      <c r="F34" s="365"/>
      <c r="G34" s="366"/>
      <c r="L34"/>
    </row>
    <row r="35" spans="1:12" s="1" customFormat="1">
      <c r="A35" s="372" t="s">
        <v>259</v>
      </c>
      <c r="B35" s="365"/>
      <c r="C35" s="365"/>
      <c r="D35" s="365"/>
      <c r="E35" s="365"/>
      <c r="F35" s="365"/>
      <c r="G35" s="366"/>
      <c r="L35"/>
    </row>
    <row r="36" spans="1:12" s="1" customFormat="1">
      <c r="A36" s="372" t="s">
        <v>279</v>
      </c>
      <c r="B36" s="365"/>
      <c r="C36" s="365"/>
      <c r="D36" s="365"/>
      <c r="E36" s="365"/>
      <c r="F36" s="365"/>
      <c r="G36" s="366"/>
      <c r="L36"/>
    </row>
    <row r="37" spans="1:12" s="94" customFormat="1">
      <c r="A37" s="372"/>
      <c r="B37" s="365"/>
      <c r="C37" s="365"/>
      <c r="D37" s="365"/>
      <c r="E37" s="365"/>
      <c r="F37" s="365"/>
      <c r="G37" s="366"/>
      <c r="L37" s="132"/>
    </row>
    <row r="38" spans="1:12" s="1" customFormat="1">
      <c r="A38" s="372" t="s">
        <v>453</v>
      </c>
      <c r="B38" s="365"/>
      <c r="C38" s="365"/>
      <c r="D38" s="365"/>
      <c r="E38" s="365"/>
      <c r="F38" s="365"/>
      <c r="G38" s="366"/>
      <c r="L38"/>
    </row>
    <row r="39" spans="1:12" s="1" customFormat="1">
      <c r="A39" s="372" t="s">
        <v>454</v>
      </c>
      <c r="B39" s="365"/>
      <c r="C39" s="365"/>
      <c r="D39" s="365"/>
      <c r="E39" s="365"/>
      <c r="F39" s="365"/>
      <c r="G39" s="366"/>
      <c r="L39"/>
    </row>
    <row r="40" spans="1:12">
      <c r="A40" s="372" t="s">
        <v>455</v>
      </c>
      <c r="B40" s="365"/>
      <c r="C40" s="365"/>
      <c r="D40" s="365"/>
      <c r="E40" s="365"/>
      <c r="F40" s="365"/>
      <c r="G40" s="366"/>
    </row>
    <row r="41" spans="1:12" s="1" customFormat="1">
      <c r="A41" s="372"/>
      <c r="B41" s="365"/>
      <c r="C41" s="365"/>
      <c r="D41" s="365"/>
      <c r="E41" s="365"/>
      <c r="F41" s="365"/>
      <c r="G41" s="366"/>
      <c r="L41"/>
    </row>
    <row r="42" spans="1:12" s="1" customFormat="1">
      <c r="A42" s="372"/>
      <c r="B42" s="365"/>
      <c r="C42" s="365"/>
      <c r="D42" s="365"/>
      <c r="E42" s="365"/>
      <c r="F42" s="365"/>
      <c r="G42" s="366"/>
      <c r="L42"/>
    </row>
    <row r="43" spans="1:12" s="94" customFormat="1">
      <c r="A43" s="372"/>
      <c r="B43" s="365"/>
      <c r="C43" s="365"/>
      <c r="D43" s="365"/>
      <c r="E43" s="365"/>
      <c r="F43" s="365"/>
      <c r="G43" s="366"/>
      <c r="L43" s="132"/>
    </row>
    <row r="44" spans="1:12" s="94" customFormat="1">
      <c r="A44" s="372"/>
      <c r="B44" s="365"/>
      <c r="C44" s="365"/>
      <c r="D44" s="365"/>
      <c r="E44" s="365"/>
      <c r="F44" s="365"/>
      <c r="G44" s="366"/>
      <c r="L44" s="132"/>
    </row>
    <row r="45" spans="1:12" s="94" customFormat="1">
      <c r="A45" s="372"/>
      <c r="B45" s="365"/>
      <c r="C45" s="365"/>
      <c r="D45" s="365"/>
      <c r="E45" s="365"/>
      <c r="F45" s="365"/>
      <c r="G45" s="366"/>
      <c r="L45" s="132"/>
    </row>
    <row r="46" spans="1:12" s="94" customFormat="1">
      <c r="A46" s="372"/>
      <c r="B46" s="365"/>
      <c r="C46" s="365"/>
      <c r="D46" s="365"/>
      <c r="E46" s="365"/>
      <c r="F46" s="365"/>
      <c r="G46" s="366"/>
      <c r="L46" s="132"/>
    </row>
    <row r="47" spans="1:12" s="94" customFormat="1">
      <c r="A47" s="372"/>
      <c r="B47" s="365"/>
      <c r="C47" s="365"/>
      <c r="D47" s="365"/>
      <c r="E47" s="365"/>
      <c r="F47" s="365"/>
      <c r="G47" s="366"/>
      <c r="L47" s="132"/>
    </row>
    <row r="48" spans="1:12" s="94" customFormat="1">
      <c r="A48" s="372"/>
      <c r="B48" s="365"/>
      <c r="C48" s="365"/>
      <c r="D48" s="365"/>
      <c r="E48" s="365"/>
      <c r="F48" s="365"/>
      <c r="G48" s="366"/>
      <c r="L48" s="132"/>
    </row>
    <row r="49" spans="1:12" s="94" customFormat="1">
      <c r="A49" s="372"/>
      <c r="B49" s="365"/>
      <c r="C49" s="365"/>
      <c r="D49" s="365"/>
      <c r="E49" s="365"/>
      <c r="F49" s="365"/>
      <c r="G49" s="366"/>
      <c r="L49" s="132"/>
    </row>
    <row r="50" spans="1:12" s="1" customFormat="1">
      <c r="A50" s="372"/>
      <c r="B50" s="365"/>
      <c r="C50" s="365"/>
      <c r="D50" s="365"/>
      <c r="E50" s="365"/>
      <c r="F50" s="365"/>
      <c r="G50" s="366"/>
      <c r="L50"/>
    </row>
    <row r="51" spans="1:12" s="1" customFormat="1">
      <c r="A51" s="372"/>
      <c r="B51" s="365"/>
      <c r="C51" s="365"/>
      <c r="D51" s="365"/>
      <c r="E51" s="365"/>
      <c r="F51" s="365"/>
      <c r="G51" s="366"/>
      <c r="L51"/>
    </row>
    <row r="52" spans="1:12" s="94" customFormat="1">
      <c r="A52" s="372"/>
      <c r="B52" s="365"/>
      <c r="C52" s="365"/>
      <c r="D52" s="365"/>
      <c r="E52" s="365"/>
      <c r="F52" s="365"/>
      <c r="G52" s="366"/>
      <c r="L52" s="132"/>
    </row>
    <row r="53" spans="1:12" s="1" customFormat="1">
      <c r="A53" s="372"/>
      <c r="B53" s="365"/>
      <c r="C53" s="365"/>
      <c r="D53" s="365"/>
      <c r="E53" s="365"/>
      <c r="F53" s="365"/>
      <c r="G53" s="366"/>
      <c r="L53"/>
    </row>
    <row r="54" spans="1:12" s="1" customFormat="1">
      <c r="A54" s="372"/>
      <c r="B54" s="365"/>
      <c r="C54" s="365"/>
      <c r="D54" s="365"/>
      <c r="E54" s="365"/>
      <c r="F54" s="365"/>
      <c r="G54" s="366"/>
      <c r="L54"/>
    </row>
    <row r="55" spans="1:12" s="1" customFormat="1">
      <c r="A55" s="372"/>
      <c r="B55" s="365"/>
      <c r="C55" s="365"/>
      <c r="D55" s="365"/>
      <c r="E55" s="365"/>
      <c r="F55" s="365"/>
      <c r="G55" s="366"/>
      <c r="L55"/>
    </row>
    <row r="56" spans="1:12" s="1" customFormat="1">
      <c r="A56" s="406"/>
      <c r="B56" s="368"/>
      <c r="C56" s="368"/>
      <c r="D56" s="368"/>
      <c r="E56" s="368"/>
      <c r="F56" s="368"/>
      <c r="G56" s="369"/>
      <c r="L56"/>
    </row>
    <row r="57" spans="1:12" s="1" customFormat="1" ht="21">
      <c r="A57" s="112" t="s">
        <v>31</v>
      </c>
      <c r="B57" s="122">
        <f>$B$1</f>
        <v>6</v>
      </c>
      <c r="C57" s="114" t="s">
        <v>39</v>
      </c>
      <c r="D57" s="115" t="str">
        <f>$E$1</f>
        <v>遭遇毎</v>
      </c>
      <c r="E57" s="438" t="str">
        <f>$B$2</f>
        <v>イグノーブル・エスケイプ</v>
      </c>
      <c r="F57" s="439"/>
      <c r="G57" s="440"/>
      <c r="L57"/>
    </row>
  </sheetData>
  <mergeCells count="59">
    <mergeCell ref="A49:G49"/>
    <mergeCell ref="A28:G28"/>
    <mergeCell ref="B17:G17"/>
    <mergeCell ref="B18:G18"/>
    <mergeCell ref="B19:G19"/>
    <mergeCell ref="B20:G20"/>
    <mergeCell ref="A23:G23"/>
    <mergeCell ref="A24:G24"/>
    <mergeCell ref="A25:G25"/>
    <mergeCell ref="A26:G26"/>
    <mergeCell ref="A27:G27"/>
    <mergeCell ref="B21:G21"/>
    <mergeCell ref="B22:G22"/>
    <mergeCell ref="A29:G29"/>
    <mergeCell ref="A30:G30"/>
    <mergeCell ref="A31:G31"/>
    <mergeCell ref="J10:K10"/>
    <mergeCell ref="B11:G11"/>
    <mergeCell ref="B16:G16"/>
    <mergeCell ref="J12:K12"/>
    <mergeCell ref="B13:G13"/>
    <mergeCell ref="B14:G14"/>
    <mergeCell ref="B15:G15"/>
    <mergeCell ref="B1:C1"/>
    <mergeCell ref="F1:G1"/>
    <mergeCell ref="B2:G2"/>
    <mergeCell ref="B5:G5"/>
    <mergeCell ref="B6:D6"/>
    <mergeCell ref="B4:G4"/>
    <mergeCell ref="B7:D7"/>
    <mergeCell ref="B8:G8"/>
    <mergeCell ref="B9:G9"/>
    <mergeCell ref="B10:G10"/>
    <mergeCell ref="B12:G12"/>
    <mergeCell ref="A33:G33"/>
    <mergeCell ref="A34:G34"/>
    <mergeCell ref="A32:G32"/>
    <mergeCell ref="E57:G57"/>
    <mergeCell ref="A44:G44"/>
    <mergeCell ref="A45:G45"/>
    <mergeCell ref="A50:G50"/>
    <mergeCell ref="A51:G51"/>
    <mergeCell ref="A53:G53"/>
    <mergeCell ref="A54:G54"/>
    <mergeCell ref="A55:G55"/>
    <mergeCell ref="A56:G56"/>
    <mergeCell ref="A52:G52"/>
    <mergeCell ref="A43:G43"/>
    <mergeCell ref="A46:G46"/>
    <mergeCell ref="A47:G47"/>
    <mergeCell ref="A48:G48"/>
    <mergeCell ref="A42:G42"/>
    <mergeCell ref="A41:G41"/>
    <mergeCell ref="A40:G40"/>
    <mergeCell ref="A35:G35"/>
    <mergeCell ref="A36:G36"/>
    <mergeCell ref="A38:G38"/>
    <mergeCell ref="A39:G39"/>
    <mergeCell ref="A37:G3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xm:sqref>
        </x14:dataValidation>
        <x14:dataValidation type="list" allowBlank="1" showInputMessage="1" showErrorMessage="1">
          <x14:formula1>
            <xm:f>基本!$A$5:$A$10</xm:f>
          </x14:formula1>
          <xm:sqref>I11 I9</xm:sqref>
        </x14:dataValidation>
        <x14:dataValidation type="list" allowBlank="1" showInputMessage="1" showErrorMessage="1">
          <x14:formula1>
            <xm:f>基本!$A$14:$A$17</xm:f>
          </x14:formula1>
          <xm:sqref>K9</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9"/>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116" t="s">
        <v>31</v>
      </c>
      <c r="B1" s="455">
        <v>10</v>
      </c>
      <c r="C1" s="456"/>
      <c r="D1" s="117" t="s">
        <v>39</v>
      </c>
      <c r="E1" s="118" t="s">
        <v>116</v>
      </c>
      <c r="F1" s="457"/>
      <c r="G1" s="458"/>
      <c r="H1" s="15" t="s">
        <v>54</v>
      </c>
    </row>
    <row r="2" spans="1:13" ht="24.75" customHeight="1">
      <c r="A2" s="117" t="s">
        <v>0</v>
      </c>
      <c r="B2" s="459" t="s">
        <v>452</v>
      </c>
      <c r="C2" s="459"/>
      <c r="D2" s="459"/>
      <c r="E2" s="459"/>
      <c r="F2" s="459"/>
      <c r="G2" s="459"/>
      <c r="H2" s="15" t="s">
        <v>55</v>
      </c>
    </row>
    <row r="3" spans="1:13" ht="19.5" customHeight="1">
      <c r="A3" s="45" t="s">
        <v>47</v>
      </c>
      <c r="B3" s="1"/>
      <c r="C3" s="1"/>
      <c r="D3" s="1"/>
      <c r="I3" s="15"/>
    </row>
    <row r="4" spans="1:13">
      <c r="A4" s="16" t="s">
        <v>45</v>
      </c>
      <c r="B4" s="397" t="s">
        <v>150</v>
      </c>
      <c r="C4" s="398"/>
      <c r="D4" s="398"/>
      <c r="E4" s="398"/>
      <c r="F4" s="398"/>
      <c r="G4" s="399"/>
    </row>
    <row r="5" spans="1:13">
      <c r="A5" s="17" t="s">
        <v>38</v>
      </c>
      <c r="B5" s="397" t="s">
        <v>144</v>
      </c>
      <c r="C5" s="398"/>
      <c r="D5" s="398"/>
      <c r="E5" s="398"/>
      <c r="F5" s="398"/>
      <c r="G5" s="399"/>
    </row>
    <row r="6" spans="1:13">
      <c r="A6" s="17" t="s">
        <v>6</v>
      </c>
      <c r="B6" s="397" t="s">
        <v>89</v>
      </c>
      <c r="C6" s="398"/>
      <c r="D6" s="399"/>
      <c r="E6" s="149" t="s">
        <v>42</v>
      </c>
      <c r="F6" s="148" t="str">
        <f>IF($I$6 = 0,"", $I$6)</f>
        <v>使用者</v>
      </c>
      <c r="G6" s="148" t="str">
        <f>IF($J$6 = 0,"", $J$6)</f>
        <v/>
      </c>
      <c r="H6" s="52" t="s">
        <v>42</v>
      </c>
      <c r="I6" s="142" t="s">
        <v>91</v>
      </c>
      <c r="J6" s="53"/>
    </row>
    <row r="7" spans="1:13">
      <c r="A7" s="18" t="s">
        <v>5</v>
      </c>
      <c r="B7" s="610"/>
      <c r="C7" s="611"/>
      <c r="D7" s="612"/>
      <c r="E7" s="149" t="s">
        <v>67</v>
      </c>
      <c r="F7" s="148" t="str">
        <f>IF($I$7 = 0,"", $I$7)</f>
        <v/>
      </c>
      <c r="G7" s="125" t="str">
        <f>IF($J$7 = 0,"", $J$7)</f>
        <v/>
      </c>
      <c r="H7" s="52" t="s">
        <v>67</v>
      </c>
      <c r="I7" s="121"/>
      <c r="J7" s="53"/>
    </row>
    <row r="8" spans="1:13">
      <c r="A8" s="20" t="s">
        <v>62</v>
      </c>
      <c r="B8" s="485" t="s">
        <v>151</v>
      </c>
      <c r="C8" s="486"/>
      <c r="D8" s="486"/>
      <c r="E8" s="486"/>
      <c r="F8" s="486"/>
      <c r="G8" s="487"/>
      <c r="H8" s="52" t="s">
        <v>87</v>
      </c>
      <c r="I8" s="53" t="s">
        <v>124</v>
      </c>
      <c r="J8" s="15" t="s">
        <v>63</v>
      </c>
    </row>
    <row r="9" spans="1:13">
      <c r="A9" s="19"/>
      <c r="B9" s="372" t="s">
        <v>152</v>
      </c>
      <c r="C9" s="365"/>
      <c r="D9" s="365"/>
      <c r="E9" s="365"/>
      <c r="F9" s="365"/>
      <c r="G9" s="366"/>
      <c r="H9" s="52" t="s">
        <v>50</v>
      </c>
      <c r="I9" s="53" t="s">
        <v>13</v>
      </c>
      <c r="J9" s="51">
        <f>IF($I$9 = "筋力",基本!$C$5,IF($I$9 = "耐久力",基本!$C$6,IF($I$9 = "敏捷力",基本!$C$7,IF($I$9 = "知力",基本!$C$8,IF($I$9 = "判断力",基本!$C$9,IF($I$9 = "魅力",基本!$C$10,""))))))</f>
        <v>6</v>
      </c>
      <c r="K9" s="53" t="s">
        <v>19</v>
      </c>
    </row>
    <row r="10" spans="1:13" ht="7.5" customHeight="1">
      <c r="A10" s="48"/>
      <c r="B10" s="613"/>
      <c r="C10" s="614"/>
      <c r="D10" s="614"/>
      <c r="E10" s="614"/>
      <c r="F10" s="614"/>
      <c r="G10" s="615"/>
      <c r="H10" s="52" t="s">
        <v>59</v>
      </c>
      <c r="I10" s="53">
        <v>0</v>
      </c>
      <c r="J10" s="296" t="s">
        <v>52</v>
      </c>
      <c r="K10" s="297"/>
      <c r="L10" s="51">
        <f>IF($I$8=基本!$F$4,基本!$O$7,IF($I$8=基本!$F$13,基本!$O$16,IF($I$8=基本!$F$22,基本!$O$25,IF($I$8=基本!$F$31,基本!$O$34,IF($I$8=基本!$F$40,基本!$O$43,0)))))</f>
        <v>17</v>
      </c>
    </row>
    <row r="11" spans="1:13" ht="18.75">
      <c r="A11" s="19"/>
      <c r="B11" s="607" t="str">
        <f>"　　　　　　　＜通常時＞機会攻撃に対し　ACだけに　＋" &amp; $J$11+2</f>
        <v>　　　　　　　＜通常時＞機会攻撃に対し　ACだけに　＋7</v>
      </c>
      <c r="C11" s="608"/>
      <c r="D11" s="608"/>
      <c r="E11" s="608"/>
      <c r="F11" s="608"/>
      <c r="G11" s="609"/>
      <c r="H11" s="43" t="s">
        <v>51</v>
      </c>
      <c r="I11" s="53" t="s">
        <v>16</v>
      </c>
      <c r="J11" s="42">
        <f>IF($I$9 = "筋力",基本!$C$5,IF($I$11 = "耐久力",基本!$C$6,IF($I$11 = "敏捷力",基本!$C$7,IF($I$11 = "知力",基本!$C$8,IF($I$11 = "判断力",基本!$C$9,IF($I$11 = "魅力",基本!$C$10,""))))))</f>
        <v>5</v>
      </c>
      <c r="L11" s="1"/>
    </row>
    <row r="12" spans="1:13" s="132" customFormat="1" ht="18.75" customHeight="1">
      <c r="A12" s="104"/>
      <c r="B12" s="616" t="str">
        <f xml:space="preserve"> "移動も遠隔も　　ＡＣ：" &amp; 基本!$B$14+$J$11+2&amp; "　　頑健：" &amp; 基本!$B$15&amp; "　　反応：" &amp; 基本!$B$16&amp; "　　意志：" &amp; 基本!$B$17&amp;"　"</f>
        <v>移動も遠隔も　　ＡＣ：37　　頑健：21　　反応：29　　意志：27　</v>
      </c>
      <c r="C12" s="617"/>
      <c r="D12" s="617"/>
      <c r="E12" s="617"/>
      <c r="F12" s="617"/>
      <c r="G12" s="618"/>
      <c r="H12" s="108"/>
      <c r="I12" s="224"/>
      <c r="J12" s="234"/>
      <c r="K12" s="94"/>
      <c r="L12" s="94"/>
    </row>
    <row r="13" spans="1:13" ht="17.25" customHeight="1">
      <c r="A13" s="19"/>
      <c r="B13" s="601" t="str">
        <f>"＜デフト･ストライクの移動時＞機会攻撃に対し　更に全防御値に　＋" &amp; $J$11</f>
        <v>＜デフト･ストライクの移動時＞機会攻撃に対し　更に全防御値に　＋5</v>
      </c>
      <c r="C13" s="602"/>
      <c r="D13" s="602"/>
      <c r="E13" s="602"/>
      <c r="F13" s="602"/>
      <c r="G13" s="603"/>
      <c r="H13" s="52" t="s">
        <v>60</v>
      </c>
      <c r="I13" s="53">
        <v>0</v>
      </c>
      <c r="J13" s="296" t="s">
        <v>53</v>
      </c>
      <c r="K13" s="297"/>
      <c r="L13" s="51">
        <f>IF($I$8=基本!$F$4,基本!$O$9,IF($I$8=基本!$F$13,基本!$O$18,IF($I$8=基本!$F$22,基本!$O$27,IF($I$8=基本!$F$31,基本!$O$36,IF($I$8=基本!$F$40,基本!$O$45,0)))))</f>
        <v>6</v>
      </c>
    </row>
    <row r="14" spans="1:13" ht="18.75">
      <c r="A14" s="19"/>
      <c r="B14" s="604" t="str">
        <f xml:space="preserve"> "移動中だけ　　　ＡＣ：" &amp; 基本!$B$14+$J$11+2+$J$11&amp; "　　頑健："&amp;基本!$B$15+$J$11&amp; "　　反応：" &amp; 基本!$B$16+$J$11&amp; "　　意志：" &amp; 基本!$B$17+$J$11&amp;"　"</f>
        <v>移動中だけ　　　ＡＣ：42　　頑健：26　　反応：34　　意志：32　</v>
      </c>
      <c r="C14" s="605"/>
      <c r="D14" s="605"/>
      <c r="E14" s="605"/>
      <c r="F14" s="605"/>
      <c r="G14" s="606"/>
      <c r="H14" s="44" t="s">
        <v>88</v>
      </c>
      <c r="I14" s="53">
        <v>2</v>
      </c>
      <c r="J14" s="52" t="s">
        <v>43</v>
      </c>
      <c r="K14" s="53">
        <v>4</v>
      </c>
      <c r="L14" s="137">
        <v>6</v>
      </c>
      <c r="M14" s="147" t="s">
        <v>166</v>
      </c>
    </row>
    <row r="15" spans="1:13" ht="8.25" customHeight="1">
      <c r="A15" s="21"/>
      <c r="B15" s="406"/>
      <c r="C15" s="368"/>
      <c r="D15" s="368"/>
      <c r="E15" s="368"/>
      <c r="F15" s="368"/>
      <c r="G15" s="369"/>
      <c r="H15" s="217" t="s">
        <v>49</v>
      </c>
      <c r="I15" s="218">
        <v>4</v>
      </c>
      <c r="J15" s="217" t="s">
        <v>43</v>
      </c>
      <c r="K15" s="218">
        <v>12</v>
      </c>
      <c r="L15" s="132"/>
    </row>
    <row r="16" spans="1:13" s="132" customFormat="1" ht="20.25" customHeight="1">
      <c r="A16" s="360" t="s">
        <v>235</v>
      </c>
      <c r="B16" s="360"/>
      <c r="C16" s="360"/>
      <c r="D16" s="360"/>
      <c r="E16" s="360"/>
      <c r="F16" s="360"/>
      <c r="G16" s="360"/>
      <c r="H16" s="217" t="s">
        <v>61</v>
      </c>
      <c r="I16" s="218" t="s">
        <v>69</v>
      </c>
      <c r="J16" s="94"/>
      <c r="K16" s="94"/>
    </row>
    <row r="17" spans="1:12" s="132" customFormat="1" ht="13.5" customHeight="1">
      <c r="A17" s="361" t="s">
        <v>236</v>
      </c>
      <c r="B17" s="361"/>
      <c r="C17" s="361"/>
      <c r="D17" s="361"/>
      <c r="E17" s="361"/>
      <c r="F17" s="361"/>
      <c r="G17" s="361"/>
      <c r="H17" s="217" t="s">
        <v>130</v>
      </c>
      <c r="I17" s="119">
        <f>基本!$B$21</f>
        <v>3</v>
      </c>
      <c r="J17" s="217" t="s">
        <v>43</v>
      </c>
      <c r="K17" s="119">
        <f>基本!$D$21</f>
        <v>8</v>
      </c>
    </row>
    <row r="18" spans="1:12" s="132" customFormat="1" ht="13.5" customHeight="1">
      <c r="A18" s="361" t="s">
        <v>237</v>
      </c>
      <c r="B18" s="361"/>
      <c r="C18" s="361"/>
      <c r="D18" s="361"/>
      <c r="E18" s="361"/>
      <c r="F18" s="361"/>
      <c r="G18" s="361"/>
      <c r="H18" s="138" t="s">
        <v>167</v>
      </c>
      <c r="I18" s="119">
        <f>基本!$B$23</f>
        <v>1</v>
      </c>
      <c r="J18" s="139" t="s">
        <v>43</v>
      </c>
      <c r="K18" s="119">
        <f>基本!$D$23</f>
        <v>10</v>
      </c>
    </row>
    <row r="19" spans="1:12" s="93" customFormat="1" ht="20.25" customHeight="1">
      <c r="A19" s="360" t="s">
        <v>155</v>
      </c>
      <c r="B19" s="360"/>
      <c r="C19" s="360"/>
      <c r="D19" s="360"/>
      <c r="E19" s="360"/>
      <c r="F19" s="360"/>
      <c r="G19" s="360"/>
      <c r="H19" s="94"/>
      <c r="I19" s="94"/>
      <c r="J19" s="132"/>
      <c r="K19" s="132"/>
      <c r="L19" s="132"/>
    </row>
    <row r="20" spans="1:12" s="93" customFormat="1" ht="13.5" customHeight="1">
      <c r="A20" s="361" t="s">
        <v>510</v>
      </c>
      <c r="B20" s="361"/>
      <c r="C20" s="361"/>
      <c r="D20" s="361"/>
      <c r="E20" s="361"/>
      <c r="F20" s="361"/>
      <c r="G20" s="361"/>
      <c r="H20" s="94"/>
      <c r="I20" s="94"/>
      <c r="J20" s="94"/>
      <c r="K20" s="94"/>
    </row>
    <row r="21" spans="1:12" s="128" customFormat="1" ht="20.25" customHeight="1">
      <c r="A21" s="360" t="s">
        <v>153</v>
      </c>
      <c r="B21" s="360"/>
      <c r="C21" s="360"/>
      <c r="D21" s="360"/>
      <c r="E21" s="360"/>
      <c r="F21" s="360"/>
      <c r="G21" s="360"/>
      <c r="H21" s="94"/>
    </row>
    <row r="22" spans="1:12" s="128" customFormat="1" ht="13.5" customHeight="1">
      <c r="A22" s="361" t="s">
        <v>154</v>
      </c>
      <c r="B22" s="361"/>
      <c r="C22" s="361"/>
      <c r="D22" s="361"/>
      <c r="E22" s="361"/>
      <c r="F22" s="361"/>
      <c r="G22" s="361"/>
      <c r="H22" s="94"/>
      <c r="I22" s="94"/>
      <c r="J22" s="94"/>
      <c r="K22" s="94"/>
    </row>
    <row r="23" spans="1:12" ht="7.5" customHeight="1">
      <c r="A23" s="368"/>
      <c r="B23" s="368"/>
      <c r="C23" s="368"/>
      <c r="D23" s="368"/>
      <c r="E23" s="368"/>
      <c r="F23" s="368"/>
      <c r="G23" s="368"/>
    </row>
    <row r="24" spans="1:12">
      <c r="A24" s="416" t="s">
        <v>48</v>
      </c>
      <c r="B24" s="417"/>
      <c r="C24" s="417"/>
      <c r="D24" s="417"/>
      <c r="E24" s="417"/>
      <c r="F24" s="417"/>
      <c r="G24" s="418"/>
    </row>
    <row r="25" spans="1:12" s="132" customFormat="1" ht="24.75" customHeight="1">
      <c r="A25" s="441" t="s">
        <v>280</v>
      </c>
      <c r="B25" s="442"/>
      <c r="C25" s="442"/>
      <c r="D25" s="442"/>
      <c r="E25" s="442"/>
      <c r="F25" s="442"/>
      <c r="G25" s="443"/>
      <c r="H25" s="94"/>
      <c r="I25" s="94"/>
      <c r="J25" s="94"/>
      <c r="K25" s="94"/>
    </row>
    <row r="26" spans="1:12" s="94" customFormat="1" ht="7.5" customHeight="1">
      <c r="A26" s="595"/>
      <c r="B26" s="596"/>
      <c r="C26" s="596"/>
      <c r="D26" s="596"/>
      <c r="E26" s="596"/>
      <c r="F26" s="596"/>
      <c r="G26" s="597"/>
      <c r="L26" s="132"/>
    </row>
    <row r="27" spans="1:12" s="94" customFormat="1" ht="16.5" customHeight="1">
      <c r="A27" s="598" t="s">
        <v>411</v>
      </c>
      <c r="B27" s="599"/>
      <c r="C27" s="599"/>
      <c r="D27" s="599"/>
      <c r="E27" s="599"/>
      <c r="F27" s="599"/>
      <c r="G27" s="600"/>
      <c r="L27" s="132"/>
    </row>
    <row r="28" spans="1:12" s="1" customFormat="1" ht="13.5" customHeight="1">
      <c r="A28" s="595" t="s">
        <v>405</v>
      </c>
      <c r="B28" s="596"/>
      <c r="C28" s="596"/>
      <c r="D28" s="596"/>
      <c r="E28" s="596"/>
      <c r="F28" s="596"/>
      <c r="G28" s="597"/>
      <c r="L28"/>
    </row>
    <row r="29" spans="1:12" s="1" customFormat="1">
      <c r="A29" s="372" t="s">
        <v>406</v>
      </c>
      <c r="B29" s="365"/>
      <c r="C29" s="365"/>
      <c r="D29" s="365"/>
      <c r="E29" s="365"/>
      <c r="F29" s="365"/>
      <c r="G29" s="366"/>
      <c r="L29"/>
    </row>
    <row r="30" spans="1:12" s="1" customFormat="1">
      <c r="A30" s="595" t="s">
        <v>487</v>
      </c>
      <c r="B30" s="596"/>
      <c r="C30" s="596"/>
      <c r="D30" s="596"/>
      <c r="E30" s="596"/>
      <c r="F30" s="596"/>
      <c r="G30" s="597"/>
      <c r="L30"/>
    </row>
    <row r="31" spans="1:12" s="1" customFormat="1">
      <c r="A31" s="372" t="s">
        <v>407</v>
      </c>
      <c r="B31" s="365"/>
      <c r="C31" s="365"/>
      <c r="D31" s="365"/>
      <c r="E31" s="365"/>
      <c r="F31" s="365"/>
      <c r="G31" s="366"/>
      <c r="L31"/>
    </row>
    <row r="32" spans="1:12" s="94" customFormat="1" ht="6.75" customHeight="1">
      <c r="A32" s="240"/>
      <c r="B32" s="237"/>
      <c r="C32" s="237"/>
      <c r="D32" s="237"/>
      <c r="E32" s="237"/>
      <c r="F32" s="237"/>
      <c r="G32" s="238"/>
      <c r="L32" s="132"/>
    </row>
    <row r="33" spans="1:12">
      <c r="A33" s="372" t="s">
        <v>408</v>
      </c>
      <c r="B33" s="548"/>
      <c r="C33" s="548"/>
      <c r="D33" s="548"/>
      <c r="E33" s="548"/>
      <c r="F33" s="548"/>
      <c r="G33" s="549"/>
    </row>
    <row r="34" spans="1:12" s="1" customFormat="1">
      <c r="A34" s="595" t="s">
        <v>409</v>
      </c>
      <c r="B34" s="596"/>
      <c r="C34" s="596"/>
      <c r="D34" s="596"/>
      <c r="E34" s="596"/>
      <c r="F34" s="596"/>
      <c r="G34" s="597"/>
      <c r="L34"/>
    </row>
    <row r="35" spans="1:12" s="1" customFormat="1">
      <c r="A35" s="595" t="s">
        <v>410</v>
      </c>
      <c r="B35" s="596"/>
      <c r="C35" s="596"/>
      <c r="D35" s="596"/>
      <c r="E35" s="596"/>
      <c r="F35" s="596"/>
      <c r="G35" s="597"/>
      <c r="L35"/>
    </row>
    <row r="36" spans="1:12" s="1" customFormat="1" ht="7.5" customHeight="1">
      <c r="A36" s="372"/>
      <c r="B36" s="365"/>
      <c r="C36" s="365"/>
      <c r="D36" s="365"/>
      <c r="E36" s="365"/>
      <c r="F36" s="365"/>
      <c r="G36" s="366"/>
      <c r="L36"/>
    </row>
    <row r="37" spans="1:12" s="1" customFormat="1">
      <c r="A37" s="372" t="s">
        <v>427</v>
      </c>
      <c r="B37" s="365"/>
      <c r="C37" s="365"/>
      <c r="D37" s="365"/>
      <c r="E37" s="365"/>
      <c r="F37" s="365"/>
      <c r="G37" s="366"/>
      <c r="L37"/>
    </row>
    <row r="38" spans="1:12" s="1" customFormat="1" ht="8.25" customHeight="1">
      <c r="A38" s="372"/>
      <c r="B38" s="365"/>
      <c r="C38" s="365"/>
      <c r="D38" s="365"/>
      <c r="E38" s="365"/>
      <c r="F38" s="365"/>
      <c r="G38" s="366"/>
      <c r="L38"/>
    </row>
    <row r="39" spans="1:12" s="1" customFormat="1" ht="17.25">
      <c r="A39" s="592" t="s">
        <v>412</v>
      </c>
      <c r="B39" s="593"/>
      <c r="C39" s="593"/>
      <c r="D39" s="593"/>
      <c r="E39" s="593"/>
      <c r="F39" s="593"/>
      <c r="G39" s="594"/>
      <c r="L39"/>
    </row>
    <row r="40" spans="1:12" s="1" customFormat="1">
      <c r="A40" s="243" t="s">
        <v>416</v>
      </c>
      <c r="B40" s="241"/>
      <c r="C40" s="241"/>
      <c r="D40" s="241"/>
      <c r="E40" s="436" t="s">
        <v>413</v>
      </c>
      <c r="F40" s="436"/>
      <c r="G40" s="437"/>
      <c r="L40"/>
    </row>
    <row r="41" spans="1:12">
      <c r="A41" s="243" t="s">
        <v>417</v>
      </c>
      <c r="B41" s="241"/>
      <c r="C41" s="241"/>
      <c r="D41" s="241"/>
      <c r="E41" s="436" t="s">
        <v>414</v>
      </c>
      <c r="F41" s="436"/>
      <c r="G41" s="437"/>
    </row>
    <row r="42" spans="1:12" s="1" customFormat="1">
      <c r="A42" s="243" t="s">
        <v>418</v>
      </c>
      <c r="B42" s="241"/>
      <c r="C42" s="241"/>
      <c r="D42" s="241"/>
      <c r="E42" s="436" t="s">
        <v>415</v>
      </c>
      <c r="F42" s="436"/>
      <c r="G42" s="437"/>
      <c r="L42"/>
    </row>
    <row r="43" spans="1:12" s="94" customFormat="1" ht="5.25" customHeight="1">
      <c r="A43" s="243"/>
      <c r="B43" s="241"/>
      <c r="C43" s="241"/>
      <c r="D43" s="241"/>
      <c r="E43" s="241"/>
      <c r="F43" s="241"/>
      <c r="G43" s="242"/>
      <c r="L43" s="132"/>
    </row>
    <row r="44" spans="1:12" s="1" customFormat="1">
      <c r="A44" s="372" t="s">
        <v>419</v>
      </c>
      <c r="B44" s="365"/>
      <c r="C44" s="365"/>
      <c r="D44" s="365"/>
      <c r="E44" s="365"/>
      <c r="F44" s="365"/>
      <c r="G44" s="366"/>
      <c r="L44"/>
    </row>
    <row r="45" spans="1:12">
      <c r="A45" s="372" t="s">
        <v>420</v>
      </c>
      <c r="B45" s="365"/>
      <c r="C45" s="365"/>
      <c r="D45" s="365"/>
      <c r="E45" s="365"/>
      <c r="F45" s="365"/>
      <c r="G45" s="366"/>
    </row>
    <row r="46" spans="1:12" s="1" customFormat="1">
      <c r="A46" s="372" t="s">
        <v>421</v>
      </c>
      <c r="B46" s="365"/>
      <c r="C46" s="365"/>
      <c r="D46" s="365"/>
      <c r="E46" s="365"/>
      <c r="F46" s="365"/>
      <c r="G46" s="366"/>
      <c r="L46"/>
    </row>
    <row r="47" spans="1:12" s="1" customFormat="1">
      <c r="A47" s="372" t="s">
        <v>429</v>
      </c>
      <c r="B47" s="365"/>
      <c r="C47" s="365"/>
      <c r="D47" s="365"/>
      <c r="E47" s="365"/>
      <c r="F47" s="365"/>
      <c r="G47" s="366"/>
      <c r="L47"/>
    </row>
    <row r="48" spans="1:12" s="1" customFormat="1">
      <c r="A48" s="372" t="s">
        <v>430</v>
      </c>
      <c r="B48" s="365"/>
      <c r="C48" s="365"/>
      <c r="D48" s="365"/>
      <c r="E48" s="365"/>
      <c r="F48" s="365"/>
      <c r="G48" s="366"/>
      <c r="L48"/>
    </row>
    <row r="49" spans="1:12" s="1" customFormat="1" ht="7.5" customHeight="1">
      <c r="A49" s="372"/>
      <c r="B49" s="365"/>
      <c r="C49" s="365"/>
      <c r="D49" s="365"/>
      <c r="E49" s="365"/>
      <c r="F49" s="365"/>
      <c r="G49" s="366"/>
      <c r="L49"/>
    </row>
    <row r="50" spans="1:12" s="94" customFormat="1" ht="17.25">
      <c r="A50" s="592" t="s">
        <v>428</v>
      </c>
      <c r="B50" s="593"/>
      <c r="C50" s="593"/>
      <c r="D50" s="593"/>
      <c r="E50" s="593"/>
      <c r="F50" s="593"/>
      <c r="G50" s="594"/>
      <c r="L50" s="132"/>
    </row>
    <row r="51" spans="1:12" s="1" customFormat="1">
      <c r="A51" s="450" t="s">
        <v>423</v>
      </c>
      <c r="B51" s="451"/>
      <c r="C51" s="451"/>
      <c r="D51" s="451"/>
      <c r="E51" s="436" t="s">
        <v>425</v>
      </c>
      <c r="F51" s="436"/>
      <c r="G51" s="437"/>
      <c r="L51"/>
    </row>
    <row r="52" spans="1:12" s="1" customFormat="1">
      <c r="A52" s="450" t="s">
        <v>422</v>
      </c>
      <c r="B52" s="451"/>
      <c r="C52" s="451"/>
      <c r="D52" s="451"/>
      <c r="E52" s="436" t="s">
        <v>426</v>
      </c>
      <c r="F52" s="436"/>
      <c r="G52" s="437"/>
      <c r="L52"/>
    </row>
    <row r="53" spans="1:12" s="1" customFormat="1">
      <c r="A53" s="450" t="s">
        <v>424</v>
      </c>
      <c r="B53" s="451"/>
      <c r="C53" s="451"/>
      <c r="D53" s="451"/>
      <c r="E53" s="436" t="s">
        <v>433</v>
      </c>
      <c r="F53" s="436"/>
      <c r="G53" s="437"/>
      <c r="L53"/>
    </row>
    <row r="54" spans="1:12" s="1" customFormat="1">
      <c r="A54" s="372"/>
      <c r="B54" s="365"/>
      <c r="C54" s="365"/>
      <c r="D54" s="365"/>
      <c r="E54" s="365"/>
      <c r="F54" s="365"/>
      <c r="G54" s="366"/>
      <c r="L54"/>
    </row>
    <row r="55" spans="1:12" s="1" customFormat="1">
      <c r="A55" s="589" t="s">
        <v>432</v>
      </c>
      <c r="B55" s="590"/>
      <c r="C55" s="590"/>
      <c r="D55" s="590"/>
      <c r="E55" s="590"/>
      <c r="F55" s="590"/>
      <c r="G55" s="591"/>
      <c r="L55"/>
    </row>
    <row r="56" spans="1:12" s="94" customFormat="1">
      <c r="A56" s="364" t="s">
        <v>434</v>
      </c>
      <c r="B56" s="548"/>
      <c r="C56" s="548"/>
      <c r="D56" s="548"/>
      <c r="E56" s="548"/>
      <c r="F56" s="548"/>
      <c r="G56" s="549"/>
      <c r="L56" s="132"/>
    </row>
    <row r="57" spans="1:12" s="94" customFormat="1">
      <c r="A57" s="364" t="s">
        <v>435</v>
      </c>
      <c r="B57" s="548"/>
      <c r="C57" s="548"/>
      <c r="D57" s="548"/>
      <c r="E57" s="548"/>
      <c r="F57" s="548"/>
      <c r="G57" s="549"/>
      <c r="L57" s="132"/>
    </row>
    <row r="58" spans="1:12" s="94" customFormat="1" ht="8.25" customHeight="1">
      <c r="A58" s="239"/>
      <c r="B58" s="244"/>
      <c r="C58" s="244"/>
      <c r="D58" s="244"/>
      <c r="E58" s="244"/>
      <c r="F58" s="244"/>
      <c r="G58" s="245"/>
      <c r="L58" s="132"/>
    </row>
    <row r="59" spans="1:12" s="1" customFormat="1" ht="21">
      <c r="A59" s="112" t="s">
        <v>31</v>
      </c>
      <c r="B59" s="122">
        <f>$B$1</f>
        <v>10</v>
      </c>
      <c r="C59" s="114" t="s">
        <v>39</v>
      </c>
      <c r="D59" s="115" t="str">
        <f>$E$1</f>
        <v>遭遇毎</v>
      </c>
      <c r="E59" s="438" t="str">
        <f>$B$2</f>
        <v>デアリング・ギャンブル</v>
      </c>
      <c r="F59" s="439"/>
      <c r="G59" s="440"/>
      <c r="L59"/>
    </row>
  </sheetData>
  <mergeCells count="61">
    <mergeCell ref="A16:G16"/>
    <mergeCell ref="A17:G17"/>
    <mergeCell ref="A18:G18"/>
    <mergeCell ref="B6:D6"/>
    <mergeCell ref="B7:D7"/>
    <mergeCell ref="B8:G8"/>
    <mergeCell ref="B9:G9"/>
    <mergeCell ref="B10:G10"/>
    <mergeCell ref="B12:G12"/>
    <mergeCell ref="B1:C1"/>
    <mergeCell ref="F1:G1"/>
    <mergeCell ref="B2:G2"/>
    <mergeCell ref="B4:G4"/>
    <mergeCell ref="B5:G5"/>
    <mergeCell ref="J10:K10"/>
    <mergeCell ref="B15:G15"/>
    <mergeCell ref="B13:G13"/>
    <mergeCell ref="J13:K13"/>
    <mergeCell ref="B14:G14"/>
    <mergeCell ref="B11:G11"/>
    <mergeCell ref="A35:G35"/>
    <mergeCell ref="A19:G19"/>
    <mergeCell ref="A20:G20"/>
    <mergeCell ref="A21:G21"/>
    <mergeCell ref="A23:G23"/>
    <mergeCell ref="A24:G24"/>
    <mergeCell ref="A28:G28"/>
    <mergeCell ref="A29:G29"/>
    <mergeCell ref="A31:G31"/>
    <mergeCell ref="A33:G33"/>
    <mergeCell ref="A34:G34"/>
    <mergeCell ref="A30:G30"/>
    <mergeCell ref="A22:G22"/>
    <mergeCell ref="A25:G25"/>
    <mergeCell ref="A26:G26"/>
    <mergeCell ref="A27:G27"/>
    <mergeCell ref="A47:G47"/>
    <mergeCell ref="A36:G36"/>
    <mergeCell ref="A37:G37"/>
    <mergeCell ref="A38:G38"/>
    <mergeCell ref="A39:G39"/>
    <mergeCell ref="A44:G44"/>
    <mergeCell ref="A45:G45"/>
    <mergeCell ref="A46:G46"/>
    <mergeCell ref="E40:G40"/>
    <mergeCell ref="E41:G41"/>
    <mergeCell ref="E42:G42"/>
    <mergeCell ref="A56:G56"/>
    <mergeCell ref="A57:G57"/>
    <mergeCell ref="E59:G59"/>
    <mergeCell ref="A48:G48"/>
    <mergeCell ref="A49:G49"/>
    <mergeCell ref="A54:G54"/>
    <mergeCell ref="A55:G55"/>
    <mergeCell ref="A50:G50"/>
    <mergeCell ref="E51:G51"/>
    <mergeCell ref="E52:G52"/>
    <mergeCell ref="E53:G53"/>
    <mergeCell ref="A51:D51"/>
    <mergeCell ref="A52:D52"/>
    <mergeCell ref="A53:D53"/>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基本!$A$14:$A$17</xm:f>
          </x14:formula1>
          <xm:sqref>K9</xm:sqref>
        </x14:dataValidation>
        <x14:dataValidation type="list" allowBlank="1" showInputMessage="1" showErrorMessage="1">
          <x14:formula1>
            <xm:f>基本!$A$5:$A$10</xm:f>
          </x14:formula1>
          <xm:sqref>I11 I9</xm:sqref>
        </x14:dataValidation>
        <x14:dataValidation type="list" allowBlank="1" showInputMessage="1" showErrorMessage="1">
          <x14:formula1>
            <xm:f>基本!$D$25:$D$29</xm:f>
          </x14:formula1>
          <xm:sqref>I8</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5"/>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22" t="s">
        <v>99</v>
      </c>
      <c r="B1" s="507">
        <v>12</v>
      </c>
      <c r="C1" s="508"/>
      <c r="D1" s="23" t="s">
        <v>39</v>
      </c>
      <c r="E1" s="24" t="s">
        <v>57</v>
      </c>
      <c r="F1" s="509"/>
      <c r="G1" s="510"/>
      <c r="H1" s="15" t="s">
        <v>54</v>
      </c>
    </row>
    <row r="2" spans="1:13" ht="24.75" customHeight="1">
      <c r="A2" s="23" t="s">
        <v>0</v>
      </c>
      <c r="B2" s="511" t="s">
        <v>313</v>
      </c>
      <c r="C2" s="511"/>
      <c r="D2" s="511"/>
      <c r="E2" s="511"/>
      <c r="F2" s="511"/>
      <c r="G2" s="511"/>
      <c r="H2" s="15" t="s">
        <v>55</v>
      </c>
    </row>
    <row r="3" spans="1:13" ht="19.5" customHeight="1">
      <c r="A3" s="45" t="s">
        <v>47</v>
      </c>
      <c r="B3" s="1"/>
      <c r="C3" s="1"/>
      <c r="D3" s="1"/>
      <c r="I3" s="15"/>
    </row>
    <row r="4" spans="1:13">
      <c r="A4" s="16" t="s">
        <v>45</v>
      </c>
      <c r="B4" s="397" t="s">
        <v>156</v>
      </c>
      <c r="C4" s="398"/>
      <c r="D4" s="398"/>
      <c r="E4" s="398"/>
      <c r="F4" s="398"/>
      <c r="G4" s="399"/>
    </row>
    <row r="5" spans="1:13">
      <c r="A5" s="17" t="s">
        <v>38</v>
      </c>
      <c r="B5" s="397" t="s">
        <v>157</v>
      </c>
      <c r="C5" s="398"/>
      <c r="D5" s="398"/>
      <c r="E5" s="398"/>
      <c r="F5" s="398"/>
      <c r="G5" s="399"/>
    </row>
    <row r="6" spans="1:13">
      <c r="A6" s="17" t="s">
        <v>6</v>
      </c>
      <c r="B6" s="397" t="s">
        <v>158</v>
      </c>
      <c r="C6" s="398"/>
      <c r="D6" s="399"/>
      <c r="E6" s="149" t="s">
        <v>42</v>
      </c>
      <c r="F6" s="148" t="str">
        <f>IF($I$6 = 0,"", $I$6)</f>
        <v>使用者</v>
      </c>
      <c r="G6" s="148" t="str">
        <f>IF($J$6 = 0,"", $J$6)</f>
        <v/>
      </c>
      <c r="H6" s="74" t="s">
        <v>42</v>
      </c>
      <c r="I6" s="142" t="s">
        <v>91</v>
      </c>
      <c r="J6" s="75">
        <v>0</v>
      </c>
    </row>
    <row r="7" spans="1:13">
      <c r="A7" s="18" t="s">
        <v>5</v>
      </c>
      <c r="B7" s="397"/>
      <c r="C7" s="398"/>
      <c r="D7" s="399"/>
      <c r="E7" s="149" t="s">
        <v>67</v>
      </c>
      <c r="F7" s="148" t="str">
        <f>IF($I$7 = 0,"", $I$7)</f>
        <v/>
      </c>
      <c r="G7" s="119" t="str">
        <f>IF($J$7 = 0,"", $J$7)</f>
        <v/>
      </c>
      <c r="H7" s="74" t="s">
        <v>67</v>
      </c>
      <c r="I7" s="121"/>
      <c r="J7" s="75"/>
    </row>
    <row r="8" spans="1:13">
      <c r="A8" s="105" t="s">
        <v>62</v>
      </c>
      <c r="B8" s="473" t="s">
        <v>231</v>
      </c>
      <c r="C8" s="474"/>
      <c r="D8" s="474"/>
      <c r="E8" s="474"/>
      <c r="F8" s="474"/>
      <c r="G8" s="475"/>
      <c r="H8" s="74" t="s">
        <v>87</v>
      </c>
      <c r="I8" s="75" t="s">
        <v>108</v>
      </c>
      <c r="J8" s="15" t="s">
        <v>63</v>
      </c>
    </row>
    <row r="9" spans="1:13">
      <c r="A9" s="104"/>
      <c r="B9" s="575"/>
      <c r="C9" s="474"/>
      <c r="D9" s="474"/>
      <c r="E9" s="474"/>
      <c r="F9" s="474"/>
      <c r="G9" s="475"/>
      <c r="H9" s="74" t="s">
        <v>50</v>
      </c>
      <c r="I9" s="75" t="s">
        <v>15</v>
      </c>
      <c r="J9" s="73">
        <f>IF($I$9 = "筋力",基本!$C$5,IF($I$9 = "耐久力",基本!$C$6,IF($I$9 = "敏捷力",基本!$C$7,IF($I$9 = "知力",基本!$C$8,IF($I$9 = "判断力",基本!$C$9,IF($I$9 = "魅力",基本!$C$10,""))))))</f>
        <v>0</v>
      </c>
      <c r="K9" s="75" t="s">
        <v>19</v>
      </c>
    </row>
    <row r="10" spans="1:13">
      <c r="A10" s="104"/>
      <c r="B10" s="575"/>
      <c r="C10" s="474"/>
      <c r="D10" s="474"/>
      <c r="E10" s="474"/>
      <c r="F10" s="474"/>
      <c r="G10" s="475"/>
      <c r="H10" s="74" t="s">
        <v>59</v>
      </c>
      <c r="I10" s="75">
        <v>0</v>
      </c>
      <c r="J10" s="296" t="s">
        <v>52</v>
      </c>
      <c r="K10" s="297"/>
      <c r="L10" s="73">
        <f>IF($I$8=基本!$F$4,基本!$O$7,IF($I$8=基本!$F$13,基本!$O$16,IF($I$8=基本!$F$22,基本!$O$25,IF($I$8=基本!$F$31,基本!$O$34,IF($I$8=基本!$F$40,基本!$O$43,0)))))</f>
        <v>0</v>
      </c>
    </row>
    <row r="11" spans="1:13" ht="25.5" customHeight="1">
      <c r="A11" s="19"/>
      <c r="B11" s="619" t="s">
        <v>342</v>
      </c>
      <c r="C11" s="620"/>
      <c r="D11" s="620"/>
      <c r="E11" s="620"/>
      <c r="F11" s="620"/>
      <c r="G11" s="621"/>
      <c r="H11" s="43" t="s">
        <v>51</v>
      </c>
      <c r="I11" s="75" t="s">
        <v>15</v>
      </c>
      <c r="J11" s="42">
        <f>IF($I$9 = "筋力",基本!$C$5,IF($I$11 = "耐久力",基本!$C$6,IF($I$11 = "敏捷力",基本!$C$7,IF($I$11 = "知力",基本!$C$8,IF($I$11 = "判断力",基本!$C$9,IF($I$11 = "魅力",基本!$C$10,""))))))</f>
        <v>0</v>
      </c>
      <c r="L11" s="1"/>
    </row>
    <row r="12" spans="1:13">
      <c r="A12" s="19"/>
      <c r="B12" s="364"/>
      <c r="C12" s="365"/>
      <c r="D12" s="365"/>
      <c r="E12" s="365"/>
      <c r="F12" s="365"/>
      <c r="G12" s="366"/>
      <c r="H12" s="74" t="s">
        <v>60</v>
      </c>
      <c r="I12" s="75">
        <v>0</v>
      </c>
      <c r="J12" s="296" t="s">
        <v>53</v>
      </c>
      <c r="K12" s="297"/>
      <c r="L12" s="73">
        <f>IF($I$8=基本!$F$4,基本!$O$9,IF($I$8=基本!$F$13,基本!$O$18,IF($I$8=基本!$F$22,基本!$O$27,IF($I$8=基本!$F$31,基本!$O$36,IF($I$8=基本!$F$40,基本!$O$45,0)))))</f>
        <v>0</v>
      </c>
    </row>
    <row r="13" spans="1:13" ht="13.5" customHeight="1">
      <c r="A13" s="19"/>
      <c r="B13" s="372"/>
      <c r="C13" s="365"/>
      <c r="D13" s="365"/>
      <c r="E13" s="365"/>
      <c r="F13" s="365"/>
      <c r="G13" s="366"/>
      <c r="H13" s="44" t="s">
        <v>88</v>
      </c>
      <c r="I13" s="75">
        <v>1</v>
      </c>
      <c r="J13" s="74" t="s">
        <v>43</v>
      </c>
      <c r="K13" s="75">
        <v>4</v>
      </c>
      <c r="L13" s="137">
        <v>6</v>
      </c>
      <c r="M13" s="147" t="s">
        <v>166</v>
      </c>
    </row>
    <row r="14" spans="1:13">
      <c r="A14" s="19"/>
      <c r="B14" s="372"/>
      <c r="C14" s="365"/>
      <c r="D14" s="365"/>
      <c r="E14" s="365"/>
      <c r="F14" s="365"/>
      <c r="G14" s="366"/>
      <c r="H14" s="74" t="s">
        <v>49</v>
      </c>
      <c r="I14" s="75">
        <v>4</v>
      </c>
      <c r="J14" s="74" t="s">
        <v>43</v>
      </c>
      <c r="K14" s="75">
        <v>12</v>
      </c>
    </row>
    <row r="15" spans="1:13">
      <c r="A15" s="19"/>
      <c r="B15" s="372"/>
      <c r="C15" s="365"/>
      <c r="D15" s="365"/>
      <c r="E15" s="365"/>
      <c r="F15" s="365"/>
      <c r="G15" s="366"/>
      <c r="H15" s="74" t="s">
        <v>61</v>
      </c>
      <c r="I15" s="75" t="s">
        <v>69</v>
      </c>
    </row>
    <row r="16" spans="1:13">
      <c r="A16" s="19"/>
      <c r="B16" s="372"/>
      <c r="C16" s="365"/>
      <c r="D16" s="365"/>
      <c r="E16" s="365"/>
      <c r="F16" s="365"/>
      <c r="G16" s="366"/>
      <c r="H16" s="77" t="s">
        <v>130</v>
      </c>
      <c r="I16" s="119">
        <f>基本!$B$21</f>
        <v>3</v>
      </c>
      <c r="J16" s="77" t="s">
        <v>43</v>
      </c>
      <c r="K16" s="119">
        <f>基本!$D$21</f>
        <v>8</v>
      </c>
      <c r="L16" s="132"/>
    </row>
    <row r="17" spans="1:12">
      <c r="A17" s="19"/>
      <c r="B17" s="372"/>
      <c r="C17" s="365"/>
      <c r="D17" s="365"/>
      <c r="E17" s="365"/>
      <c r="F17" s="365"/>
      <c r="G17" s="366"/>
      <c r="H17" s="138" t="s">
        <v>167</v>
      </c>
      <c r="I17" s="119">
        <f>基本!$B$23</f>
        <v>1</v>
      </c>
      <c r="J17" s="139" t="s">
        <v>43</v>
      </c>
      <c r="K17" s="119">
        <f>基本!$D$23</f>
        <v>10</v>
      </c>
    </row>
    <row r="18" spans="1:12">
      <c r="A18" s="19"/>
      <c r="B18" s="575"/>
      <c r="C18" s="474"/>
      <c r="D18" s="474"/>
      <c r="E18" s="474"/>
      <c r="F18" s="474"/>
      <c r="G18" s="475"/>
      <c r="J18"/>
      <c r="K18"/>
    </row>
    <row r="19" spans="1:12">
      <c r="A19" s="19"/>
      <c r="B19" s="372"/>
      <c r="C19" s="365"/>
      <c r="D19" s="365"/>
      <c r="E19" s="365"/>
      <c r="F19" s="365"/>
      <c r="G19" s="366"/>
      <c r="J19"/>
      <c r="K19"/>
    </row>
    <row r="20" spans="1:12">
      <c r="A20" s="19"/>
      <c r="B20" s="372"/>
      <c r="C20" s="365"/>
      <c r="D20" s="365"/>
      <c r="E20" s="365"/>
      <c r="F20" s="365"/>
      <c r="G20" s="366"/>
      <c r="J20"/>
      <c r="K20"/>
    </row>
    <row r="21" spans="1:12">
      <c r="A21" s="19"/>
      <c r="B21" s="372"/>
      <c r="C21" s="365"/>
      <c r="D21" s="365"/>
      <c r="E21" s="365"/>
      <c r="F21" s="365"/>
      <c r="G21" s="366"/>
      <c r="J21"/>
      <c r="K21"/>
    </row>
    <row r="22" spans="1:12">
      <c r="A22" s="21"/>
      <c r="B22" s="406"/>
      <c r="C22" s="368"/>
      <c r="D22" s="368"/>
      <c r="E22" s="368"/>
      <c r="F22" s="368"/>
      <c r="G22" s="369"/>
      <c r="J22"/>
      <c r="K22"/>
    </row>
    <row r="23" spans="1:12" s="132" customFormat="1" ht="24" customHeight="1">
      <c r="A23" s="360" t="s">
        <v>235</v>
      </c>
      <c r="B23" s="360"/>
      <c r="C23" s="360"/>
      <c r="D23" s="360"/>
      <c r="E23" s="360"/>
      <c r="F23" s="360"/>
      <c r="G23" s="360"/>
      <c r="H23" s="94"/>
    </row>
    <row r="24" spans="1:12" s="132" customFormat="1" ht="13.5" customHeight="1">
      <c r="A24" s="361" t="s">
        <v>236</v>
      </c>
      <c r="B24" s="361"/>
      <c r="C24" s="361"/>
      <c r="D24" s="361"/>
      <c r="E24" s="361"/>
      <c r="F24" s="361"/>
      <c r="G24" s="361"/>
      <c r="H24" s="94"/>
      <c r="I24" s="94"/>
      <c r="J24" s="94"/>
      <c r="K24" s="94"/>
    </row>
    <row r="25" spans="1:12" s="132" customFormat="1" ht="13.5" customHeight="1">
      <c r="A25" s="361" t="s">
        <v>237</v>
      </c>
      <c r="B25" s="361"/>
      <c r="C25" s="361"/>
      <c r="D25" s="361"/>
      <c r="E25" s="361"/>
      <c r="F25" s="361"/>
      <c r="G25" s="361"/>
      <c r="H25" s="94"/>
      <c r="I25" s="94"/>
      <c r="J25" s="94"/>
      <c r="K25" s="94"/>
    </row>
    <row r="26" spans="1:12" s="93" customFormat="1">
      <c r="A26" s="362"/>
      <c r="B26" s="362"/>
      <c r="C26" s="362"/>
      <c r="D26" s="362"/>
      <c r="E26" s="362"/>
      <c r="F26" s="362"/>
      <c r="G26" s="362"/>
      <c r="H26" s="94"/>
      <c r="I26" s="94"/>
      <c r="J26" s="94"/>
      <c r="K26" s="94"/>
    </row>
    <row r="27" spans="1:12">
      <c r="A27" s="368"/>
      <c r="B27" s="368"/>
      <c r="C27" s="368"/>
      <c r="D27" s="368"/>
      <c r="E27" s="368"/>
      <c r="F27" s="368"/>
      <c r="G27" s="368"/>
    </row>
    <row r="28" spans="1:12">
      <c r="A28" s="416" t="s">
        <v>48</v>
      </c>
      <c r="B28" s="417"/>
      <c r="C28" s="417"/>
      <c r="D28" s="417"/>
      <c r="E28" s="417"/>
      <c r="F28" s="417"/>
      <c r="G28" s="418"/>
    </row>
    <row r="29" spans="1:12" s="132" customFormat="1" ht="24.75" customHeight="1">
      <c r="A29" s="441" t="s">
        <v>280</v>
      </c>
      <c r="B29" s="442"/>
      <c r="C29" s="442"/>
      <c r="D29" s="442"/>
      <c r="E29" s="442"/>
      <c r="F29" s="442"/>
      <c r="G29" s="443"/>
      <c r="H29" s="94"/>
      <c r="I29" s="94"/>
      <c r="J29" s="94"/>
      <c r="K29" s="94"/>
    </row>
    <row r="30" spans="1:12" s="1" customFormat="1">
      <c r="A30" s="622"/>
      <c r="B30" s="424"/>
      <c r="C30" s="424"/>
      <c r="D30" s="424"/>
      <c r="E30" s="424"/>
      <c r="F30" s="424"/>
      <c r="G30" s="425"/>
      <c r="L30"/>
    </row>
    <row r="31" spans="1:12" s="1" customFormat="1">
      <c r="A31" s="372" t="s">
        <v>294</v>
      </c>
      <c r="B31" s="365"/>
      <c r="C31" s="365"/>
      <c r="D31" s="365"/>
      <c r="E31" s="365"/>
      <c r="F31" s="365"/>
      <c r="G31" s="366"/>
      <c r="L31"/>
    </row>
    <row r="32" spans="1:12" s="1" customFormat="1" ht="21" customHeight="1">
      <c r="A32" s="419" t="s">
        <v>295</v>
      </c>
      <c r="B32" s="414"/>
      <c r="C32" s="414"/>
      <c r="D32" s="414"/>
      <c r="E32" s="414"/>
      <c r="F32" s="414"/>
      <c r="G32" s="415"/>
      <c r="L32"/>
    </row>
    <row r="33" spans="1:12" s="1" customFormat="1">
      <c r="A33" s="372"/>
      <c r="B33" s="365"/>
      <c r="C33" s="365"/>
      <c r="D33" s="365"/>
      <c r="E33" s="365"/>
      <c r="F33" s="365"/>
      <c r="G33" s="366"/>
      <c r="L33"/>
    </row>
    <row r="34" spans="1:12" s="1" customFormat="1" ht="19.5" customHeight="1">
      <c r="A34" s="419" t="s">
        <v>296</v>
      </c>
      <c r="B34" s="414"/>
      <c r="C34" s="414"/>
      <c r="D34" s="414"/>
      <c r="E34" s="414"/>
      <c r="F34" s="414"/>
      <c r="G34" s="415"/>
      <c r="L34"/>
    </row>
    <row r="35" spans="1:12" s="1" customFormat="1">
      <c r="A35" s="372" t="s">
        <v>402</v>
      </c>
      <c r="B35" s="365"/>
      <c r="C35" s="365"/>
      <c r="D35" s="365"/>
      <c r="E35" s="365"/>
      <c r="F35" s="365"/>
      <c r="G35" s="366"/>
      <c r="L35"/>
    </row>
    <row r="36" spans="1:12" s="1" customFormat="1">
      <c r="A36" s="364" t="s">
        <v>403</v>
      </c>
      <c r="B36" s="365"/>
      <c r="C36" s="365"/>
      <c r="D36" s="365"/>
      <c r="E36" s="365"/>
      <c r="F36" s="365"/>
      <c r="G36" s="366"/>
      <c r="L36"/>
    </row>
    <row r="37" spans="1:12" s="94" customFormat="1">
      <c r="A37" s="213"/>
      <c r="B37" s="214"/>
      <c r="C37" s="214"/>
      <c r="D37" s="214"/>
      <c r="E37" s="214"/>
      <c r="F37" s="214"/>
      <c r="G37" s="215"/>
      <c r="L37" s="132"/>
    </row>
    <row r="38" spans="1:12" s="1" customFormat="1" ht="21">
      <c r="A38" s="623" t="s">
        <v>404</v>
      </c>
      <c r="B38" s="624"/>
      <c r="C38" s="624"/>
      <c r="D38" s="624"/>
      <c r="E38" s="624"/>
      <c r="F38" s="624"/>
      <c r="G38" s="625"/>
      <c r="L38"/>
    </row>
    <row r="39" spans="1:12" s="1" customFormat="1">
      <c r="A39" s="372"/>
      <c r="B39" s="365"/>
      <c r="C39" s="365"/>
      <c r="D39" s="365"/>
      <c r="E39" s="365"/>
      <c r="F39" s="365"/>
      <c r="G39" s="366"/>
      <c r="L39"/>
    </row>
    <row r="40" spans="1:12">
      <c r="A40" s="372"/>
      <c r="B40" s="365"/>
      <c r="C40" s="365"/>
      <c r="D40" s="365"/>
      <c r="E40" s="365"/>
      <c r="F40" s="365"/>
      <c r="G40" s="366"/>
    </row>
    <row r="41" spans="1:12" s="1" customFormat="1">
      <c r="A41" s="372"/>
      <c r="B41" s="365"/>
      <c r="C41" s="365"/>
      <c r="D41" s="365"/>
      <c r="E41" s="365"/>
      <c r="F41" s="365"/>
      <c r="G41" s="366"/>
      <c r="L41"/>
    </row>
    <row r="42" spans="1:12" s="1" customFormat="1">
      <c r="A42" s="372"/>
      <c r="B42" s="365"/>
      <c r="C42" s="365"/>
      <c r="D42" s="365"/>
      <c r="E42" s="365"/>
      <c r="F42" s="365"/>
      <c r="G42" s="366"/>
      <c r="L42"/>
    </row>
    <row r="43" spans="1:12">
      <c r="A43" s="372"/>
      <c r="B43" s="365"/>
      <c r="C43" s="365"/>
      <c r="D43" s="365"/>
      <c r="E43" s="365"/>
      <c r="F43" s="365"/>
      <c r="G43" s="366"/>
    </row>
    <row r="44" spans="1:12" s="1" customFormat="1">
      <c r="A44" s="372"/>
      <c r="B44" s="365"/>
      <c r="C44" s="365"/>
      <c r="D44" s="365"/>
      <c r="E44" s="365"/>
      <c r="F44" s="365"/>
      <c r="G44" s="366"/>
      <c r="L44"/>
    </row>
    <row r="45" spans="1:12" s="1" customFormat="1">
      <c r="A45" s="372"/>
      <c r="B45" s="365"/>
      <c r="C45" s="365"/>
      <c r="D45" s="365"/>
      <c r="E45" s="365"/>
      <c r="F45" s="365"/>
      <c r="G45" s="366"/>
      <c r="L45"/>
    </row>
    <row r="46" spans="1:12" s="1" customFormat="1">
      <c r="A46" s="372"/>
      <c r="B46" s="365"/>
      <c r="C46" s="365"/>
      <c r="D46" s="365"/>
      <c r="E46" s="365"/>
      <c r="F46" s="365"/>
      <c r="G46" s="366"/>
      <c r="L46"/>
    </row>
    <row r="47" spans="1:12" s="1" customFormat="1">
      <c r="A47" s="372"/>
      <c r="B47" s="365"/>
      <c r="C47" s="365"/>
      <c r="D47" s="365"/>
      <c r="E47" s="365"/>
      <c r="F47" s="365"/>
      <c r="G47" s="366"/>
      <c r="L47"/>
    </row>
    <row r="48" spans="1:12" s="1" customFormat="1">
      <c r="A48" s="372"/>
      <c r="B48" s="365"/>
      <c r="C48" s="365"/>
      <c r="D48" s="365"/>
      <c r="E48" s="365"/>
      <c r="F48" s="365"/>
      <c r="G48" s="366"/>
      <c r="L48"/>
    </row>
    <row r="49" spans="1:12" s="1" customFormat="1" ht="17.25">
      <c r="A49" s="626"/>
      <c r="B49" s="627"/>
      <c r="C49" s="627"/>
      <c r="D49" s="627"/>
      <c r="E49" s="627"/>
      <c r="F49" s="627"/>
      <c r="G49" s="628"/>
      <c r="L49"/>
    </row>
    <row r="50" spans="1:12" s="1" customFormat="1">
      <c r="A50" s="372"/>
      <c r="B50" s="365"/>
      <c r="C50" s="365"/>
      <c r="D50" s="365"/>
      <c r="E50" s="365"/>
      <c r="F50" s="365"/>
      <c r="G50" s="366"/>
      <c r="L50"/>
    </row>
    <row r="51" spans="1:12" s="1" customFormat="1">
      <c r="A51" s="372"/>
      <c r="B51" s="365"/>
      <c r="C51" s="365"/>
      <c r="D51" s="365"/>
      <c r="E51" s="365"/>
      <c r="F51" s="365"/>
      <c r="G51" s="366"/>
      <c r="L51"/>
    </row>
    <row r="52" spans="1:12" s="1" customFormat="1">
      <c r="A52" s="372"/>
      <c r="B52" s="365"/>
      <c r="C52" s="365"/>
      <c r="D52" s="365"/>
      <c r="E52" s="365"/>
      <c r="F52" s="365"/>
      <c r="G52" s="366"/>
      <c r="L52"/>
    </row>
    <row r="53" spans="1:12" s="1" customFormat="1">
      <c r="A53" s="372"/>
      <c r="B53" s="365"/>
      <c r="C53" s="365"/>
      <c r="D53" s="365"/>
      <c r="E53" s="365"/>
      <c r="F53" s="365"/>
      <c r="G53" s="366"/>
      <c r="L53"/>
    </row>
    <row r="54" spans="1:12" s="1" customFormat="1">
      <c r="A54" s="372"/>
      <c r="B54" s="365"/>
      <c r="C54" s="365"/>
      <c r="D54" s="365"/>
      <c r="E54" s="365"/>
      <c r="F54" s="365"/>
      <c r="G54" s="366"/>
      <c r="L54"/>
    </row>
    <row r="55" spans="1:12" s="1" customFormat="1" ht="21">
      <c r="A55" s="26" t="s">
        <v>31</v>
      </c>
      <c r="B55" s="135">
        <f>$B$1</f>
        <v>12</v>
      </c>
      <c r="C55" s="27" t="s">
        <v>39</v>
      </c>
      <c r="D55" s="28" t="str">
        <f>$E$1</f>
        <v>一日毎</v>
      </c>
      <c r="E55" s="520" t="str">
        <f>$B$2</f>
        <v>メディティション・オヴ・ザ・ブレード</v>
      </c>
      <c r="F55" s="521"/>
      <c r="G55" s="522"/>
      <c r="L55"/>
    </row>
  </sheetData>
  <mergeCells count="56">
    <mergeCell ref="E55:G55"/>
    <mergeCell ref="A46:G46"/>
    <mergeCell ref="A47:G47"/>
    <mergeCell ref="A48:G48"/>
    <mergeCell ref="A49:G49"/>
    <mergeCell ref="A50:G50"/>
    <mergeCell ref="A51:G51"/>
    <mergeCell ref="A52:G52"/>
    <mergeCell ref="A53:G53"/>
    <mergeCell ref="A54:G54"/>
    <mergeCell ref="A45:G45"/>
    <mergeCell ref="A33:G33"/>
    <mergeCell ref="A34:G34"/>
    <mergeCell ref="A35:G35"/>
    <mergeCell ref="A36:G36"/>
    <mergeCell ref="A38:G38"/>
    <mergeCell ref="A39:G39"/>
    <mergeCell ref="A40:G40"/>
    <mergeCell ref="A41:G41"/>
    <mergeCell ref="A42:G42"/>
    <mergeCell ref="A43:G43"/>
    <mergeCell ref="A44:G44"/>
    <mergeCell ref="A27:G27"/>
    <mergeCell ref="A28:G28"/>
    <mergeCell ref="A29:G29"/>
    <mergeCell ref="A30:G30"/>
    <mergeCell ref="A31:G31"/>
    <mergeCell ref="A32:G32"/>
    <mergeCell ref="J10:K10"/>
    <mergeCell ref="B22:G22"/>
    <mergeCell ref="B12:G12"/>
    <mergeCell ref="J12:K12"/>
    <mergeCell ref="B14:G14"/>
    <mergeCell ref="B15:G15"/>
    <mergeCell ref="B16:G16"/>
    <mergeCell ref="B17:G17"/>
    <mergeCell ref="B18:G18"/>
    <mergeCell ref="B19:G19"/>
    <mergeCell ref="B20:G20"/>
    <mergeCell ref="B21:G21"/>
    <mergeCell ref="B11:G11"/>
    <mergeCell ref="B13:G13"/>
    <mergeCell ref="A23:G23"/>
    <mergeCell ref="B1:C1"/>
    <mergeCell ref="F1:G1"/>
    <mergeCell ref="B2:G2"/>
    <mergeCell ref="B4:G4"/>
    <mergeCell ref="B5:G5"/>
    <mergeCell ref="A24:G24"/>
    <mergeCell ref="A25:G25"/>
    <mergeCell ref="A26:G26"/>
    <mergeCell ref="B6:D6"/>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xm:sqref>
        </x14:dataValidation>
        <x14:dataValidation type="list" allowBlank="1" showInputMessage="1" showErrorMessage="1">
          <x14:formula1>
            <xm:f>基本!$A$5:$A$10</xm:f>
          </x14:formula1>
          <xm:sqref>I11 I9</xm:sqref>
        </x14:dataValidation>
        <x14:dataValidation type="list" allowBlank="1" showInputMessage="1" showErrorMessage="1">
          <x14:formula1>
            <xm:f>基本!$A$14:$A$17</xm:f>
          </x14:formula1>
          <xm:sqref>K9</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5"/>
  <sheetViews>
    <sheetView workbookViewId="0"/>
  </sheetViews>
  <sheetFormatPr defaultRowHeight="13.5"/>
  <cols>
    <col min="1" max="1" width="7.875" style="93" customWidth="1"/>
    <col min="2" max="2" width="8.5" style="93" customWidth="1"/>
    <col min="3" max="3" width="6.625" style="93" customWidth="1"/>
    <col min="4" max="4" width="15.75" style="93" customWidth="1"/>
    <col min="5" max="6" width="15.75" style="94" customWidth="1"/>
    <col min="7" max="7" width="18.25" style="94" customWidth="1"/>
    <col min="8" max="8" width="17.375" style="94" customWidth="1"/>
    <col min="9" max="9" width="14.625" style="94" customWidth="1"/>
    <col min="10" max="10" width="8.375" style="94" customWidth="1"/>
    <col min="11" max="11" width="7.5" style="94" customWidth="1"/>
    <col min="12" max="12" width="7.875" style="93" customWidth="1"/>
    <col min="13" max="13" width="9.25" style="93" customWidth="1"/>
    <col min="14" max="14" width="12.375" style="93" customWidth="1"/>
    <col min="15" max="16384" width="9" style="93"/>
  </cols>
  <sheetData>
    <row r="1" spans="1:13" ht="21">
      <c r="A1" s="116"/>
      <c r="B1" s="633" t="s">
        <v>101</v>
      </c>
      <c r="C1" s="634"/>
      <c r="D1" s="117" t="s">
        <v>39</v>
      </c>
      <c r="E1" s="118" t="s">
        <v>56</v>
      </c>
      <c r="F1" s="457"/>
      <c r="G1" s="458"/>
      <c r="H1" s="100" t="s">
        <v>54</v>
      </c>
    </row>
    <row r="2" spans="1:13" ht="24.75" customHeight="1">
      <c r="A2" s="117" t="s">
        <v>0</v>
      </c>
      <c r="B2" s="459" t="s">
        <v>126</v>
      </c>
      <c r="C2" s="459"/>
      <c r="D2" s="459"/>
      <c r="E2" s="459"/>
      <c r="F2" s="459"/>
      <c r="G2" s="459"/>
      <c r="H2" s="100" t="s">
        <v>55</v>
      </c>
    </row>
    <row r="3" spans="1:13" ht="19.5" customHeight="1">
      <c r="A3" s="99" t="s">
        <v>47</v>
      </c>
      <c r="B3" s="94"/>
      <c r="C3" s="94"/>
      <c r="D3" s="94"/>
      <c r="I3" s="100"/>
    </row>
    <row r="4" spans="1:13">
      <c r="A4" s="101" t="s">
        <v>45</v>
      </c>
      <c r="B4" s="397" t="s">
        <v>127</v>
      </c>
      <c r="C4" s="398"/>
      <c r="D4" s="398"/>
      <c r="E4" s="398"/>
      <c r="F4" s="398"/>
      <c r="G4" s="399"/>
    </row>
    <row r="5" spans="1:13">
      <c r="A5" s="102" t="s">
        <v>38</v>
      </c>
      <c r="B5" s="397" t="s">
        <v>115</v>
      </c>
      <c r="C5" s="398"/>
      <c r="D5" s="398"/>
      <c r="E5" s="398"/>
      <c r="F5" s="398"/>
      <c r="G5" s="399"/>
    </row>
    <row r="6" spans="1:13">
      <c r="A6" s="102" t="s">
        <v>6</v>
      </c>
      <c r="B6" s="397" t="s">
        <v>117</v>
      </c>
      <c r="C6" s="398"/>
      <c r="D6" s="399"/>
      <c r="E6" s="149" t="s">
        <v>42</v>
      </c>
      <c r="F6" s="148" t="str">
        <f>IF($I$6 = 0,"", $I$6)</f>
        <v>使用者</v>
      </c>
      <c r="G6" s="148" t="str">
        <f>IF($J$6 = 0,"", $J$6)</f>
        <v/>
      </c>
      <c r="H6" s="97" t="s">
        <v>42</v>
      </c>
      <c r="I6" s="142" t="s">
        <v>91</v>
      </c>
      <c r="J6" s="96">
        <v>0</v>
      </c>
    </row>
    <row r="7" spans="1:13">
      <c r="A7" s="103" t="s">
        <v>5</v>
      </c>
      <c r="B7" s="397"/>
      <c r="C7" s="398"/>
      <c r="D7" s="399"/>
      <c r="E7" s="149" t="s">
        <v>67</v>
      </c>
      <c r="F7" s="148" t="str">
        <f>IF($I$7 = 0,"", $I$7)</f>
        <v/>
      </c>
      <c r="G7" s="119" t="str">
        <f>IF($J$7 = 0,"", $J$7)</f>
        <v/>
      </c>
      <c r="H7" s="97" t="s">
        <v>67</v>
      </c>
      <c r="I7" s="121"/>
      <c r="J7" s="96">
        <v>0</v>
      </c>
    </row>
    <row r="8" spans="1:13">
      <c r="A8" s="105" t="s">
        <v>128</v>
      </c>
      <c r="B8" s="632" t="s">
        <v>136</v>
      </c>
      <c r="C8" s="486"/>
      <c r="D8" s="486"/>
      <c r="E8" s="486"/>
      <c r="F8" s="486"/>
      <c r="G8" s="487"/>
      <c r="H8" s="97" t="s">
        <v>87</v>
      </c>
      <c r="I8" s="96" t="s">
        <v>108</v>
      </c>
      <c r="J8" s="100" t="s">
        <v>63</v>
      </c>
    </row>
    <row r="9" spans="1:13">
      <c r="A9" s="105" t="s">
        <v>62</v>
      </c>
      <c r="B9" s="485" t="s">
        <v>137</v>
      </c>
      <c r="C9" s="486"/>
      <c r="D9" s="486"/>
      <c r="E9" s="486"/>
      <c r="F9" s="486"/>
      <c r="G9" s="487"/>
      <c r="H9" s="97" t="s">
        <v>50</v>
      </c>
      <c r="I9" s="96" t="s">
        <v>15</v>
      </c>
      <c r="J9" s="95">
        <f>IF($I$9 = "筋力",基本!$C$5,IF($I$9 = "耐久力",基本!$C$6,IF($I$9 = "敏捷力",基本!$C$7,IF($I$9 = "知力",基本!$C$8,IF($I$9 = "判断力",基本!$C$9,IF($I$9 = "魅力",基本!$C$10,""))))))</f>
        <v>0</v>
      </c>
      <c r="K9" s="96" t="s">
        <v>19</v>
      </c>
    </row>
    <row r="10" spans="1:13" ht="13.5" customHeight="1">
      <c r="A10" s="111"/>
      <c r="B10" s="372" t="s">
        <v>129</v>
      </c>
      <c r="C10" s="365"/>
      <c r="D10" s="365"/>
      <c r="E10" s="365"/>
      <c r="F10" s="365"/>
      <c r="G10" s="366"/>
      <c r="H10" s="97" t="s">
        <v>59</v>
      </c>
      <c r="I10" s="96">
        <v>0</v>
      </c>
      <c r="J10" s="296" t="s">
        <v>52</v>
      </c>
      <c r="K10" s="297"/>
      <c r="L10" s="95">
        <f>IF($I$8=基本!$F$4,基本!$O$7,IF($I$8=基本!$F$13,基本!$O$16,IF($I$8=基本!$F$22,基本!$O$25,IF($I$8=基本!$F$31,基本!$O$34,IF($I$8=基本!$F$40,基本!$O$43,0)))))</f>
        <v>0</v>
      </c>
    </row>
    <row r="11" spans="1:13" ht="13.5" customHeight="1">
      <c r="A11" s="104"/>
      <c r="B11" s="372"/>
      <c r="C11" s="365"/>
      <c r="D11" s="365"/>
      <c r="E11" s="365"/>
      <c r="F11" s="365"/>
      <c r="G11" s="366"/>
      <c r="H11" s="108" t="s">
        <v>51</v>
      </c>
      <c r="I11" s="96" t="s">
        <v>15</v>
      </c>
      <c r="J11" s="110">
        <f>IF($I$9 = "筋力",基本!$C$5,IF($I$11 = "耐久力",基本!$C$6,IF($I$11 = "敏捷力",基本!$C$7,IF($I$11 = "知力",基本!$C$8,IF($I$11 = "判断力",基本!$C$9,IF($I$11 = "魅力",基本!$C$10,""))))))</f>
        <v>0</v>
      </c>
      <c r="L11" s="94"/>
    </row>
    <row r="12" spans="1:13">
      <c r="A12" s="104"/>
      <c r="B12" s="364"/>
      <c r="C12" s="365"/>
      <c r="D12" s="365"/>
      <c r="E12" s="365"/>
      <c r="F12" s="365"/>
      <c r="G12" s="366"/>
      <c r="H12" s="97" t="s">
        <v>60</v>
      </c>
      <c r="I12" s="96">
        <v>0</v>
      </c>
      <c r="J12" s="296" t="s">
        <v>53</v>
      </c>
      <c r="K12" s="297"/>
      <c r="L12" s="95">
        <f>IF($I$8=基本!$F$4,基本!$O$9,IF($I$8=基本!$F$13,基本!$O$18,IF($I$8=基本!$F$22,基本!$O$27,IF($I$8=基本!$F$31,基本!$O$36,IF($I$8=基本!$F$40,基本!$O$45,0)))))</f>
        <v>0</v>
      </c>
    </row>
    <row r="13" spans="1:13">
      <c r="A13" s="104"/>
      <c r="B13" s="372"/>
      <c r="C13" s="365"/>
      <c r="D13" s="365"/>
      <c r="E13" s="365"/>
      <c r="F13" s="365"/>
      <c r="G13" s="366"/>
      <c r="H13" s="109" t="s">
        <v>88</v>
      </c>
      <c r="I13" s="96">
        <v>3</v>
      </c>
      <c r="J13" s="97" t="s">
        <v>43</v>
      </c>
      <c r="K13" s="96">
        <v>4</v>
      </c>
      <c r="L13" s="137">
        <v>6</v>
      </c>
      <c r="M13" s="147" t="s">
        <v>166</v>
      </c>
    </row>
    <row r="14" spans="1:13">
      <c r="A14" s="104"/>
      <c r="B14" s="372"/>
      <c r="C14" s="365"/>
      <c r="D14" s="365"/>
      <c r="E14" s="365"/>
      <c r="F14" s="365"/>
      <c r="G14" s="366"/>
      <c r="H14" s="97" t="s">
        <v>49</v>
      </c>
      <c r="I14" s="96">
        <v>3</v>
      </c>
      <c r="J14" s="97" t="s">
        <v>43</v>
      </c>
      <c r="K14" s="96">
        <v>12</v>
      </c>
    </row>
    <row r="15" spans="1:13">
      <c r="A15" s="104"/>
      <c r="B15" s="372"/>
      <c r="C15" s="365"/>
      <c r="D15" s="365"/>
      <c r="E15" s="365"/>
      <c r="F15" s="365"/>
      <c r="G15" s="366"/>
      <c r="H15" s="97" t="s">
        <v>61</v>
      </c>
      <c r="I15" s="96" t="s">
        <v>75</v>
      </c>
    </row>
    <row r="16" spans="1:13">
      <c r="A16" s="104"/>
      <c r="B16" s="372"/>
      <c r="C16" s="365"/>
      <c r="D16" s="365"/>
      <c r="E16" s="365"/>
      <c r="F16" s="365"/>
      <c r="G16" s="366"/>
      <c r="H16" s="97" t="s">
        <v>130</v>
      </c>
      <c r="I16" s="119">
        <f>基本!$B$21</f>
        <v>3</v>
      </c>
      <c r="J16" s="97" t="s">
        <v>43</v>
      </c>
      <c r="K16" s="119">
        <f>基本!$D$21</f>
        <v>8</v>
      </c>
      <c r="L16" s="132"/>
    </row>
    <row r="17" spans="1:12">
      <c r="A17" s="104"/>
      <c r="B17" s="473" t="s">
        <v>135</v>
      </c>
      <c r="C17" s="474"/>
      <c r="D17" s="474"/>
      <c r="E17" s="474"/>
      <c r="F17" s="474"/>
      <c r="G17" s="475"/>
      <c r="H17" s="138" t="s">
        <v>167</v>
      </c>
      <c r="I17" s="119">
        <f>基本!$B$23</f>
        <v>1</v>
      </c>
      <c r="J17" s="139" t="s">
        <v>43</v>
      </c>
      <c r="K17" s="119">
        <f>基本!$D$23</f>
        <v>10</v>
      </c>
    </row>
    <row r="18" spans="1:12" ht="21">
      <c r="A18" s="104"/>
      <c r="B18" s="460" t="s">
        <v>449</v>
      </c>
      <c r="C18" s="461"/>
      <c r="D18" s="461"/>
      <c r="E18" s="461"/>
      <c r="F18" s="461"/>
      <c r="G18" s="462"/>
      <c r="J18" s="93"/>
      <c r="K18" s="93"/>
    </row>
    <row r="19" spans="1:12">
      <c r="A19" s="104"/>
      <c r="B19" s="372"/>
      <c r="C19" s="365"/>
      <c r="D19" s="365"/>
      <c r="E19" s="365"/>
      <c r="F19" s="365"/>
      <c r="G19" s="366"/>
      <c r="J19" s="93"/>
      <c r="K19" s="93"/>
    </row>
    <row r="20" spans="1:12" ht="18.75" customHeight="1">
      <c r="A20" s="104"/>
      <c r="B20" s="460" t="s">
        <v>266</v>
      </c>
      <c r="C20" s="461"/>
      <c r="D20" s="461"/>
      <c r="E20" s="461"/>
      <c r="F20" s="461"/>
      <c r="G20" s="462"/>
      <c r="J20" s="93"/>
      <c r="K20" s="93"/>
    </row>
    <row r="21" spans="1:12">
      <c r="A21" s="104"/>
      <c r="B21" s="372"/>
      <c r="C21" s="365"/>
      <c r="D21" s="365"/>
      <c r="E21" s="365"/>
      <c r="F21" s="365"/>
      <c r="G21" s="366"/>
      <c r="J21" s="93"/>
      <c r="K21" s="93"/>
    </row>
    <row r="22" spans="1:12" ht="18.75" customHeight="1">
      <c r="A22" s="104"/>
      <c r="B22" s="461" t="s">
        <v>267</v>
      </c>
      <c r="C22" s="461"/>
      <c r="D22" s="461"/>
      <c r="E22" s="461"/>
      <c r="F22" s="461"/>
      <c r="G22" s="462"/>
      <c r="J22" s="93"/>
      <c r="K22" s="93"/>
    </row>
    <row r="23" spans="1:12" s="132" customFormat="1">
      <c r="A23" s="106"/>
      <c r="B23" s="406"/>
      <c r="C23" s="368"/>
      <c r="D23" s="368"/>
      <c r="E23" s="368"/>
      <c r="F23" s="368"/>
      <c r="G23" s="369"/>
      <c r="H23" s="94"/>
      <c r="I23" s="94"/>
    </row>
    <row r="24" spans="1:12" s="132" customFormat="1" ht="24" customHeight="1">
      <c r="A24" s="360" t="s">
        <v>131</v>
      </c>
      <c r="B24" s="360"/>
      <c r="C24" s="360"/>
      <c r="D24" s="360"/>
      <c r="E24" s="360"/>
      <c r="F24" s="360"/>
      <c r="G24" s="360"/>
      <c r="H24" s="94"/>
    </row>
    <row r="25" spans="1:12" s="132" customFormat="1" ht="13.5" customHeight="1">
      <c r="A25" s="361" t="s">
        <v>132</v>
      </c>
      <c r="B25" s="361"/>
      <c r="C25" s="361"/>
      <c r="D25" s="361"/>
      <c r="E25" s="361"/>
      <c r="F25" s="361"/>
      <c r="G25" s="361"/>
      <c r="H25" s="94"/>
      <c r="I25" s="94"/>
      <c r="J25" s="94"/>
      <c r="K25" s="94"/>
    </row>
    <row r="26" spans="1:12" s="132" customFormat="1" ht="13.5" customHeight="1">
      <c r="A26" s="362" t="s">
        <v>133</v>
      </c>
      <c r="B26" s="362"/>
      <c r="C26" s="362"/>
      <c r="D26" s="362"/>
      <c r="E26" s="362"/>
      <c r="F26" s="362"/>
      <c r="G26" s="362"/>
      <c r="H26" s="94"/>
    </row>
    <row r="27" spans="1:12">
      <c r="A27" s="362" t="s">
        <v>134</v>
      </c>
      <c r="B27" s="362"/>
      <c r="C27" s="362"/>
      <c r="D27" s="362"/>
      <c r="E27" s="362"/>
      <c r="F27" s="362"/>
      <c r="G27" s="362"/>
    </row>
    <row r="28" spans="1:12">
      <c r="A28" s="368"/>
      <c r="B28" s="368"/>
      <c r="C28" s="368"/>
      <c r="D28" s="368"/>
      <c r="E28" s="368"/>
      <c r="F28" s="368"/>
      <c r="G28" s="368"/>
    </row>
    <row r="29" spans="1:12">
      <c r="A29" s="416" t="s">
        <v>48</v>
      </c>
      <c r="B29" s="417"/>
      <c r="C29" s="417"/>
      <c r="D29" s="417"/>
      <c r="E29" s="417"/>
      <c r="F29" s="417"/>
      <c r="G29" s="418"/>
    </row>
    <row r="30" spans="1:12" s="132" customFormat="1" ht="24.75" customHeight="1">
      <c r="A30" s="441" t="s">
        <v>268</v>
      </c>
      <c r="B30" s="442"/>
      <c r="C30" s="442"/>
      <c r="D30" s="442"/>
      <c r="E30" s="442"/>
      <c r="F30" s="442"/>
      <c r="G30" s="443"/>
      <c r="H30" s="94"/>
      <c r="I30" s="94"/>
      <c r="J30" s="94"/>
      <c r="K30" s="94"/>
    </row>
    <row r="31" spans="1:12" s="132" customFormat="1" ht="24.75" customHeight="1">
      <c r="A31" s="629" t="s">
        <v>290</v>
      </c>
      <c r="B31" s="630"/>
      <c r="C31" s="630"/>
      <c r="D31" s="630"/>
      <c r="E31" s="630"/>
      <c r="F31" s="630"/>
      <c r="G31" s="631"/>
      <c r="H31" s="94"/>
      <c r="I31" s="94"/>
      <c r="J31" s="94"/>
      <c r="K31" s="94"/>
    </row>
    <row r="32" spans="1:12" s="94" customFormat="1">
      <c r="A32" s="372"/>
      <c r="B32" s="365"/>
      <c r="C32" s="365"/>
      <c r="D32" s="365"/>
      <c r="E32" s="365"/>
      <c r="F32" s="365"/>
      <c r="G32" s="366"/>
      <c r="L32" s="93"/>
    </row>
    <row r="33" spans="1:12" s="94" customFormat="1">
      <c r="A33" s="372" t="s">
        <v>291</v>
      </c>
      <c r="B33" s="365"/>
      <c r="C33" s="365"/>
      <c r="D33" s="365"/>
      <c r="E33" s="365"/>
      <c r="F33" s="365"/>
      <c r="G33" s="366"/>
      <c r="L33" s="93"/>
    </row>
    <row r="34" spans="1:12" s="94" customFormat="1">
      <c r="A34" s="372" t="s">
        <v>269</v>
      </c>
      <c r="B34" s="365"/>
      <c r="C34" s="365"/>
      <c r="D34" s="365"/>
      <c r="E34" s="365"/>
      <c r="F34" s="365"/>
      <c r="G34" s="366"/>
      <c r="L34" s="93"/>
    </row>
    <row r="35" spans="1:12">
      <c r="A35" s="372"/>
      <c r="B35" s="365"/>
      <c r="C35" s="365"/>
      <c r="D35" s="365"/>
      <c r="E35" s="365"/>
      <c r="F35" s="365"/>
      <c r="G35" s="366"/>
    </row>
    <row r="36" spans="1:12" s="94" customFormat="1">
      <c r="A36" s="372" t="s">
        <v>277</v>
      </c>
      <c r="B36" s="365"/>
      <c r="C36" s="365"/>
      <c r="D36" s="365"/>
      <c r="E36" s="365"/>
      <c r="F36" s="365"/>
      <c r="G36" s="366"/>
      <c r="L36" s="93"/>
    </row>
    <row r="37" spans="1:12" s="94" customFormat="1">
      <c r="A37" s="372" t="s">
        <v>278</v>
      </c>
      <c r="B37" s="365"/>
      <c r="C37" s="365"/>
      <c r="D37" s="365"/>
      <c r="E37" s="365"/>
      <c r="F37" s="365"/>
      <c r="G37" s="366"/>
      <c r="L37" s="93"/>
    </row>
    <row r="38" spans="1:12" s="94" customFormat="1">
      <c r="A38" s="372"/>
      <c r="B38" s="365"/>
      <c r="C38" s="365"/>
      <c r="D38" s="365"/>
      <c r="E38" s="365"/>
      <c r="F38" s="365"/>
      <c r="G38" s="366"/>
      <c r="L38" s="93"/>
    </row>
    <row r="39" spans="1:12" s="94" customFormat="1" ht="18.75">
      <c r="A39" s="420" t="s">
        <v>292</v>
      </c>
      <c r="B39" s="421"/>
      <c r="C39" s="421"/>
      <c r="D39" s="421"/>
      <c r="E39" s="421"/>
      <c r="F39" s="421"/>
      <c r="G39" s="422"/>
      <c r="L39" s="93"/>
    </row>
    <row r="40" spans="1:12" s="94" customFormat="1">
      <c r="A40" s="372" t="s">
        <v>293</v>
      </c>
      <c r="B40" s="365"/>
      <c r="C40" s="365"/>
      <c r="D40" s="365"/>
      <c r="E40" s="365"/>
      <c r="F40" s="365"/>
      <c r="G40" s="366"/>
      <c r="L40" s="93"/>
    </row>
    <row r="41" spans="1:12">
      <c r="A41" s="372"/>
      <c r="B41" s="365"/>
      <c r="C41" s="365"/>
      <c r="D41" s="365"/>
      <c r="E41" s="365"/>
      <c r="F41" s="365"/>
      <c r="G41" s="366"/>
    </row>
    <row r="42" spans="1:12" s="94" customFormat="1">
      <c r="A42" s="372"/>
      <c r="B42" s="365"/>
      <c r="C42" s="365"/>
      <c r="D42" s="365"/>
      <c r="E42" s="365"/>
      <c r="F42" s="365"/>
      <c r="G42" s="366"/>
      <c r="L42" s="93"/>
    </row>
    <row r="43" spans="1:12" s="94" customFormat="1">
      <c r="A43" s="372"/>
      <c r="B43" s="365"/>
      <c r="C43" s="365"/>
      <c r="D43" s="365"/>
      <c r="E43" s="365"/>
      <c r="F43" s="365"/>
      <c r="G43" s="366"/>
      <c r="L43" s="93"/>
    </row>
    <row r="44" spans="1:12">
      <c r="A44" s="372"/>
      <c r="B44" s="365"/>
      <c r="C44" s="365"/>
      <c r="D44" s="365"/>
      <c r="E44" s="365"/>
      <c r="F44" s="365"/>
      <c r="G44" s="366"/>
    </row>
    <row r="45" spans="1:12" s="94" customFormat="1">
      <c r="A45" s="372"/>
      <c r="B45" s="365"/>
      <c r="C45" s="365"/>
      <c r="D45" s="365"/>
      <c r="E45" s="365"/>
      <c r="F45" s="365"/>
      <c r="G45" s="366"/>
      <c r="L45" s="93"/>
    </row>
    <row r="46" spans="1:12" s="94" customFormat="1">
      <c r="A46" s="372"/>
      <c r="B46" s="365"/>
      <c r="C46" s="365"/>
      <c r="D46" s="365"/>
      <c r="E46" s="365"/>
      <c r="F46" s="365"/>
      <c r="G46" s="366"/>
      <c r="L46" s="93"/>
    </row>
    <row r="47" spans="1:12" s="94" customFormat="1">
      <c r="A47" s="372"/>
      <c r="B47" s="365"/>
      <c r="C47" s="365"/>
      <c r="D47" s="365"/>
      <c r="E47" s="365"/>
      <c r="F47" s="365"/>
      <c r="G47" s="366"/>
      <c r="L47" s="93"/>
    </row>
    <row r="48" spans="1:12" s="94" customFormat="1">
      <c r="A48" s="372"/>
      <c r="B48" s="365"/>
      <c r="C48" s="365"/>
      <c r="D48" s="365"/>
      <c r="E48" s="365"/>
      <c r="F48" s="365"/>
      <c r="G48" s="366"/>
      <c r="L48" s="93"/>
    </row>
    <row r="49" spans="1:12" s="94" customFormat="1">
      <c r="A49" s="372"/>
      <c r="B49" s="365"/>
      <c r="C49" s="365"/>
      <c r="D49" s="365"/>
      <c r="E49" s="365"/>
      <c r="F49" s="365"/>
      <c r="G49" s="366"/>
      <c r="L49" s="93"/>
    </row>
    <row r="50" spans="1:12" s="94" customFormat="1">
      <c r="A50" s="372"/>
      <c r="B50" s="365"/>
      <c r="C50" s="365"/>
      <c r="D50" s="365"/>
      <c r="E50" s="365"/>
      <c r="F50" s="365"/>
      <c r="G50" s="366"/>
      <c r="L50" s="93"/>
    </row>
    <row r="51" spans="1:12" s="94" customFormat="1">
      <c r="A51" s="372"/>
      <c r="B51" s="365"/>
      <c r="C51" s="365"/>
      <c r="D51" s="365"/>
      <c r="E51" s="365"/>
      <c r="F51" s="365"/>
      <c r="G51" s="366"/>
      <c r="L51" s="93"/>
    </row>
    <row r="52" spans="1:12" s="94" customFormat="1">
      <c r="A52" s="372"/>
      <c r="B52" s="365"/>
      <c r="C52" s="365"/>
      <c r="D52" s="365"/>
      <c r="E52" s="365"/>
      <c r="F52" s="365"/>
      <c r="G52" s="366"/>
      <c r="L52" s="93"/>
    </row>
    <row r="53" spans="1:12" s="94" customFormat="1">
      <c r="A53" s="372"/>
      <c r="B53" s="365"/>
      <c r="C53" s="365"/>
      <c r="D53" s="365"/>
      <c r="E53" s="365"/>
      <c r="F53" s="365"/>
      <c r="G53" s="366"/>
      <c r="L53" s="93"/>
    </row>
    <row r="54" spans="1:12" s="94" customFormat="1">
      <c r="A54" s="406"/>
      <c r="B54" s="368"/>
      <c r="C54" s="368"/>
      <c r="D54" s="368"/>
      <c r="E54" s="368"/>
      <c r="F54" s="368"/>
      <c r="G54" s="369"/>
      <c r="L54" s="93"/>
    </row>
    <row r="55" spans="1:12" s="94" customFormat="1" ht="21">
      <c r="A55" s="112" t="s">
        <v>31</v>
      </c>
      <c r="B55" s="113" t="str">
        <f>$B$1</f>
        <v>種族ﾊﾟﾜｰ</v>
      </c>
      <c r="C55" s="114" t="s">
        <v>39</v>
      </c>
      <c r="D55" s="115" t="str">
        <f>$E$1</f>
        <v>遭遇毎</v>
      </c>
      <c r="E55" s="438" t="str">
        <f>$B$2</f>
        <v>セカンド・チャンス</v>
      </c>
      <c r="F55" s="439"/>
      <c r="G55" s="440"/>
      <c r="L55" s="93"/>
    </row>
  </sheetData>
  <mergeCells count="57">
    <mergeCell ref="A53:G53"/>
    <mergeCell ref="A54:G54"/>
    <mergeCell ref="E55:G55"/>
    <mergeCell ref="A47:G47"/>
    <mergeCell ref="A48:G48"/>
    <mergeCell ref="A49:G49"/>
    <mergeCell ref="A50:G50"/>
    <mergeCell ref="A51:G51"/>
    <mergeCell ref="A52:G52"/>
    <mergeCell ref="A46:G46"/>
    <mergeCell ref="A32:G32"/>
    <mergeCell ref="A33:G33"/>
    <mergeCell ref="A34:G34"/>
    <mergeCell ref="A35:G35"/>
    <mergeCell ref="A36:G36"/>
    <mergeCell ref="A37:G37"/>
    <mergeCell ref="A38:G38"/>
    <mergeCell ref="A39:G39"/>
    <mergeCell ref="A45:G45"/>
    <mergeCell ref="A44:G44"/>
    <mergeCell ref="B18:G18"/>
    <mergeCell ref="B19:G19"/>
    <mergeCell ref="B20:G20"/>
    <mergeCell ref="B21:G21"/>
    <mergeCell ref="B22:G22"/>
    <mergeCell ref="B6:D6"/>
    <mergeCell ref="B13:G13"/>
    <mergeCell ref="B14:G14"/>
    <mergeCell ref="B15:G15"/>
    <mergeCell ref="B17:G17"/>
    <mergeCell ref="B1:C1"/>
    <mergeCell ref="F1:G1"/>
    <mergeCell ref="B2:G2"/>
    <mergeCell ref="B4:G4"/>
    <mergeCell ref="B5:G5"/>
    <mergeCell ref="J12:K12"/>
    <mergeCell ref="B16:G16"/>
    <mergeCell ref="B7:D7"/>
    <mergeCell ref="B8:G8"/>
    <mergeCell ref="B9:G9"/>
    <mergeCell ref="B10:G10"/>
    <mergeCell ref="B12:G12"/>
    <mergeCell ref="J10:K10"/>
    <mergeCell ref="B11:G11"/>
    <mergeCell ref="B23:G23"/>
    <mergeCell ref="A40:G40"/>
    <mergeCell ref="A41:G41"/>
    <mergeCell ref="A42:G42"/>
    <mergeCell ref="A43:G43"/>
    <mergeCell ref="A24:G24"/>
    <mergeCell ref="A25:G25"/>
    <mergeCell ref="A26:G26"/>
    <mergeCell ref="A28:G28"/>
    <mergeCell ref="A29:G29"/>
    <mergeCell ref="A27:G27"/>
    <mergeCell ref="A30:G30"/>
    <mergeCell ref="A31:G3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基本!$A$5:$A$10</xm:f>
          </x14:formula1>
          <xm:sqref>I11 I9</xm:sqref>
        </x14:dataValidation>
        <x14:dataValidation type="list" allowBlank="1" showInputMessage="1" showErrorMessage="1">
          <x14:formula1>
            <xm:f>基本!$C$25:$C$35</xm:f>
          </x14:formula1>
          <xm:sqref>I15</xm:sqref>
        </x14:dataValidation>
        <x14:dataValidation type="list" allowBlank="1" showInputMessage="1" showErrorMessage="1">
          <x14:formula1>
            <xm:f>基本!$D$25:$D$29</xm:f>
          </x14:formula1>
          <xm:sqref>I8</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selection activeCell="A2" sqref="A2:A4"/>
    </sheetView>
  </sheetViews>
  <sheetFormatPr defaultRowHeight="12.75" customHeight="1"/>
  <cols>
    <col min="1" max="1" width="9" style="93"/>
    <col min="2" max="2" width="9.875" customWidth="1"/>
    <col min="3" max="3" width="6.375" customWidth="1"/>
    <col min="4" max="4" width="8.25" customWidth="1"/>
    <col min="5" max="5" width="9.875" customWidth="1"/>
    <col min="6" max="6" width="6.875" customWidth="1"/>
    <col min="7" max="7" width="38.375" customWidth="1"/>
  </cols>
  <sheetData>
    <row r="1" spans="1:7" s="132" customFormat="1" ht="3.75" customHeight="1"/>
    <row r="2" spans="1:7" s="120" customFormat="1" ht="12.75" customHeight="1">
      <c r="A2" s="343" t="s">
        <v>31</v>
      </c>
      <c r="B2" s="346" t="s">
        <v>100</v>
      </c>
      <c r="C2" s="347"/>
      <c r="D2" s="347"/>
      <c r="E2" s="347"/>
      <c r="F2" s="348"/>
      <c r="G2" s="265" t="s">
        <v>6</v>
      </c>
    </row>
    <row r="3" spans="1:7" s="120" customFormat="1" ht="12.75" customHeight="1">
      <c r="A3" s="344"/>
      <c r="B3" s="351" t="s">
        <v>42</v>
      </c>
      <c r="C3" s="350"/>
      <c r="D3" s="350" t="s">
        <v>67</v>
      </c>
      <c r="E3" s="350"/>
      <c r="F3" s="352" t="s">
        <v>5</v>
      </c>
      <c r="G3" s="353"/>
    </row>
    <row r="4" spans="1:7" s="120" customFormat="1" ht="12.75" customHeight="1">
      <c r="A4" s="345"/>
      <c r="B4" s="356" t="s">
        <v>325</v>
      </c>
      <c r="C4" s="355"/>
      <c r="D4" s="250" t="s">
        <v>436</v>
      </c>
      <c r="E4" s="354" t="s">
        <v>324</v>
      </c>
      <c r="F4" s="355"/>
      <c r="G4" s="255" t="s">
        <v>439</v>
      </c>
    </row>
    <row r="5" spans="1:7" s="132" customFormat="1" ht="21" customHeight="1">
      <c r="A5" s="341" t="s">
        <v>443</v>
      </c>
      <c r="B5" s="342"/>
      <c r="C5" s="342"/>
      <c r="D5" s="342"/>
      <c r="E5" s="342"/>
      <c r="F5" s="342"/>
      <c r="G5" s="342"/>
    </row>
    <row r="6" spans="1:7" s="132" customFormat="1" ht="12.75" customHeight="1">
      <c r="A6" s="311"/>
      <c r="B6" s="314" t="str">
        <f>近接基礎!$B$2</f>
        <v>近接基礎攻撃</v>
      </c>
      <c r="C6" s="315"/>
      <c r="D6" s="315"/>
      <c r="E6" s="315"/>
      <c r="F6" s="316"/>
      <c r="G6" s="264" t="str">
        <f>近接基礎!$B$6</f>
        <v>標準アクション</v>
      </c>
    </row>
    <row r="7" spans="1:7" s="132" customFormat="1" ht="12.75" customHeight="1">
      <c r="A7" s="312"/>
      <c r="B7" s="247" t="str">
        <f>近接基礎!$F$6</f>
        <v>近接</v>
      </c>
      <c r="C7" s="248" t="str">
        <f>近接基礎!$G$6</f>
        <v>武器</v>
      </c>
      <c r="D7" s="248" t="str">
        <f>近接基礎!$F$7</f>
        <v/>
      </c>
      <c r="E7" s="248" t="str">
        <f>近接基礎!$G$7</f>
        <v/>
      </c>
      <c r="F7" s="307" t="str">
        <f>近接基礎!$B$7</f>
        <v>クリーチャー１体</v>
      </c>
      <c r="G7" s="308"/>
    </row>
    <row r="8" spans="1:7" s="132" customFormat="1" ht="12.75" customHeight="1">
      <c r="A8" s="313"/>
      <c r="B8" s="349" t="str">
        <f>近接基礎!$F$19</f>
        <v>25+1d20</v>
      </c>
      <c r="C8" s="337"/>
      <c r="D8" s="246" t="str">
        <f>近接基礎!$B$19</f>
        <v>AC/反応</v>
      </c>
      <c r="E8" s="337" t="str">
        <f>近接基礎!$F$20</f>
        <v>11+1d4+3d8</v>
      </c>
      <c r="F8" s="337"/>
      <c r="G8" s="249" t="s">
        <v>440</v>
      </c>
    </row>
    <row r="9" spans="1:7" s="132" customFormat="1" ht="12.75" customHeight="1">
      <c r="A9" s="311"/>
      <c r="B9" s="314" t="str">
        <f>遠隔基礎!$B$2</f>
        <v>遠隔基礎攻撃</v>
      </c>
      <c r="C9" s="315"/>
      <c r="D9" s="315"/>
      <c r="E9" s="315"/>
      <c r="F9" s="316" t="str">
        <f>遠隔基礎!$B$6</f>
        <v>標準アクション</v>
      </c>
      <c r="G9" s="264" t="str">
        <f>近接基礎!$B$6</f>
        <v>標準アクション</v>
      </c>
    </row>
    <row r="10" spans="1:7" s="132" customFormat="1" ht="12.75" customHeight="1">
      <c r="A10" s="312"/>
      <c r="B10" s="254" t="str">
        <f>遠隔基礎!$F$6</f>
        <v>遠隔</v>
      </c>
      <c r="C10" s="248" t="str">
        <f>遠隔基礎!$G$6</f>
        <v>武器</v>
      </c>
      <c r="D10" s="248" t="str">
        <f>遠隔基礎!$F$7</f>
        <v/>
      </c>
      <c r="E10" s="248" t="str">
        <f>遠隔基礎!$G$7</f>
        <v/>
      </c>
      <c r="F10" s="307" t="str">
        <f>遠隔基礎!$B$7</f>
        <v>クリーチャー１体</v>
      </c>
      <c r="G10" s="308"/>
    </row>
    <row r="11" spans="1:7" s="132" customFormat="1" ht="12.75" customHeight="1">
      <c r="A11" s="313"/>
      <c r="B11" s="309" t="str">
        <f>遠隔基礎!$F$19</f>
        <v>26+1d20</v>
      </c>
      <c r="C11" s="310"/>
      <c r="D11" s="251" t="str">
        <f>遠隔基礎!$B$19</f>
        <v>AC/反応</v>
      </c>
      <c r="E11" s="310" t="str">
        <f>遠隔基礎!$F$20</f>
        <v>14+1d4+3d8</v>
      </c>
      <c r="F11" s="310"/>
      <c r="G11" s="252" t="s">
        <v>441</v>
      </c>
    </row>
    <row r="12" spans="1:7" ht="21" customHeight="1">
      <c r="A12" s="341" t="s">
        <v>451</v>
      </c>
      <c r="B12" s="342"/>
      <c r="C12" s="342"/>
      <c r="D12" s="342"/>
      <c r="E12" s="342"/>
      <c r="F12" s="342"/>
      <c r="G12" s="342"/>
    </row>
    <row r="13" spans="1:7" ht="12.75" customHeight="1">
      <c r="A13" s="311">
        <f>無01_2!$B$1</f>
        <v>1</v>
      </c>
      <c r="B13" s="314" t="str">
        <f>無01_2!$B$2</f>
        <v>スライ･フラーリッシュ</v>
      </c>
      <c r="C13" s="315"/>
      <c r="D13" s="315"/>
      <c r="E13" s="315"/>
      <c r="F13" s="316" t="str">
        <f>無01_2!$B$6</f>
        <v>標準アクション</v>
      </c>
      <c r="G13" s="264" t="str">
        <f>近接基礎!$B$6</f>
        <v>標準アクション</v>
      </c>
    </row>
    <row r="14" spans="1:7" ht="12.75" customHeight="1">
      <c r="A14" s="312"/>
      <c r="B14" s="254" t="str">
        <f>無01_2!$F$6</f>
        <v>近接or遠隔</v>
      </c>
      <c r="C14" s="248" t="str">
        <f>無01_2!$G$6</f>
        <v>武器</v>
      </c>
      <c r="D14" s="248" t="str">
        <f>無01_2!$F$7</f>
        <v/>
      </c>
      <c r="E14" s="248" t="str">
        <f>無01_2!$G$7</f>
        <v/>
      </c>
      <c r="F14" s="307" t="str">
        <f>無01_2!$B$7</f>
        <v>クリーチャー１体</v>
      </c>
      <c r="G14" s="308"/>
    </row>
    <row r="15" spans="1:7" ht="12.75" customHeight="1">
      <c r="A15" s="313"/>
      <c r="B15" s="309" t="str">
        <f>無01_2!$F$19</f>
        <v>25+1d20☆</v>
      </c>
      <c r="C15" s="310"/>
      <c r="D15" s="251" t="str">
        <f>無01_2!$C$19</f>
        <v>AC</v>
      </c>
      <c r="E15" s="310" t="str">
        <f>無01_2!$F$20</f>
        <v>19+1d4+3d8</v>
      </c>
      <c r="F15" s="310"/>
      <c r="G15" s="252" t="s">
        <v>442</v>
      </c>
    </row>
    <row r="16" spans="1:7" s="132" customFormat="1" ht="12.75" customHeight="1">
      <c r="A16" s="301">
        <f>日05!$B$1</f>
        <v>5</v>
      </c>
      <c r="B16" s="304" t="str">
        <f>日05!$B$2</f>
        <v>ブラッド・バス</v>
      </c>
      <c r="C16" s="305"/>
      <c r="D16" s="305"/>
      <c r="E16" s="305"/>
      <c r="F16" s="306" t="str">
        <f>日05!$B$6</f>
        <v>標準アクション</v>
      </c>
      <c r="G16" s="264" t="str">
        <f>遭07!$B$6</f>
        <v>標準アクション</v>
      </c>
    </row>
    <row r="17" spans="1:7" s="132" customFormat="1" ht="12.75" customHeight="1">
      <c r="A17" s="302"/>
      <c r="B17" s="254" t="str">
        <f>日05!$F$6</f>
        <v>近接or遠隔</v>
      </c>
      <c r="C17" s="248" t="str">
        <f>日05!$G$6</f>
        <v>武器</v>
      </c>
      <c r="D17" s="248" t="str">
        <f>日05!$F$7</f>
        <v/>
      </c>
      <c r="E17" s="248" t="str">
        <f>日05!$G$7</f>
        <v/>
      </c>
      <c r="F17" s="307" t="str">
        <f>日05!$B$7</f>
        <v>クリーチャー１体</v>
      </c>
      <c r="G17" s="308"/>
    </row>
    <row r="18" spans="1:7" s="132" customFormat="1" ht="12.75" customHeight="1">
      <c r="A18" s="303"/>
      <c r="B18" s="336" t="str">
        <f>日05!$F$16</f>
        <v>25+1d20☆</v>
      </c>
      <c r="C18" s="337"/>
      <c r="D18" s="257" t="str">
        <f>日05!$C$16</f>
        <v>頑健</v>
      </c>
      <c r="E18" s="337" t="str">
        <f>日05!$F$18</f>
        <v>28+2d4+3d8</v>
      </c>
      <c r="F18" s="337"/>
      <c r="G18" s="249" t="str">
        <f>"継続ダメージ付＆ミスしても "&amp;日05!$E$17&amp;" ダメージ"</f>
        <v>継続ダメージ付＆ミスしても 14+1d4 ダメージ</v>
      </c>
    </row>
    <row r="19" spans="1:7" s="132" customFormat="1" ht="21" customHeight="1">
      <c r="A19" s="341" t="s">
        <v>437</v>
      </c>
      <c r="B19" s="341"/>
      <c r="C19" s="341"/>
      <c r="D19" s="341"/>
      <c r="E19" s="341"/>
      <c r="F19" s="341"/>
      <c r="G19" s="341"/>
    </row>
    <row r="20" spans="1:7" s="132" customFormat="1" ht="12.75" customHeight="1">
      <c r="A20" s="311">
        <f>無01_1!$B$1</f>
        <v>1</v>
      </c>
      <c r="B20" s="314" t="str">
        <f>無01_1!$B$2</f>
        <v>デフト･ストライク</v>
      </c>
      <c r="C20" s="315"/>
      <c r="D20" s="315"/>
      <c r="E20" s="315"/>
      <c r="F20" s="316" t="str">
        <f>無01_1!$B$6</f>
        <v>標準アクション</v>
      </c>
      <c r="G20" s="264" t="str">
        <f>近接基礎!$B$6</f>
        <v>標準アクション</v>
      </c>
    </row>
    <row r="21" spans="1:7" s="132" customFormat="1" ht="12.75" customHeight="1">
      <c r="A21" s="312"/>
      <c r="B21" s="254" t="str">
        <f>無01_1!$F$6</f>
        <v>近接or遠隔</v>
      </c>
      <c r="C21" s="248" t="str">
        <f>無01_1!$G$6</f>
        <v>武器</v>
      </c>
      <c r="D21" s="248" t="str">
        <f>無01_1!$F$7</f>
        <v/>
      </c>
      <c r="E21" s="248" t="str">
        <f>無01_1!$G$7</f>
        <v/>
      </c>
      <c r="F21" s="307" t="str">
        <f>無01_1!$B$7</f>
        <v>クリーチャー１体</v>
      </c>
      <c r="G21" s="308"/>
    </row>
    <row r="22" spans="1:7" s="132" customFormat="1" ht="12.75" customHeight="1">
      <c r="A22" s="313"/>
      <c r="B22" s="309" t="str">
        <f>無01_1!$F$19</f>
        <v>25+1d20☆</v>
      </c>
      <c r="C22" s="310"/>
      <c r="D22" s="251" t="str">
        <f>無01_1!$C$19</f>
        <v>AC</v>
      </c>
      <c r="E22" s="310" t="str">
        <f>無01_1!$F$20</f>
        <v>14+1d4+3d8</v>
      </c>
      <c r="F22" s="310"/>
      <c r="G22" s="252" t="str">
        <f>無01_1!$B$13</f>
        <v>攻撃前に３マスまで移動可能！</v>
      </c>
    </row>
    <row r="23" spans="1:7" s="93" customFormat="1" ht="12.75" customHeight="1">
      <c r="A23" s="357">
        <f>遭07!$B$1</f>
        <v>7</v>
      </c>
      <c r="B23" s="338" t="str">
        <f>遭07!$B$2</f>
        <v>フロム・ザ・シャドウズ</v>
      </c>
      <c r="C23" s="339"/>
      <c r="D23" s="339"/>
      <c r="E23" s="339"/>
      <c r="F23" s="340" t="str">
        <f>遭07!$B$6</f>
        <v>標準アクション</v>
      </c>
      <c r="G23" s="264" t="str">
        <f>遭07!$B$6</f>
        <v>標準アクション</v>
      </c>
    </row>
    <row r="24" spans="1:7" s="93" customFormat="1" ht="12.75" customHeight="1">
      <c r="A24" s="358"/>
      <c r="B24" s="254" t="str">
        <f>遭07!$F$6</f>
        <v>近接or遠隔</v>
      </c>
      <c r="C24" s="248" t="str">
        <f>遭07!$G$6</f>
        <v>武器</v>
      </c>
      <c r="D24" s="248" t="str">
        <f>遭07!$F$7</f>
        <v/>
      </c>
      <c r="E24" s="248" t="str">
        <f>遭07!$G$7</f>
        <v/>
      </c>
      <c r="F24" s="307" t="str">
        <f>遭07!$B$7</f>
        <v>クリーチャー１体</v>
      </c>
      <c r="G24" s="308"/>
    </row>
    <row r="25" spans="1:7" s="93" customFormat="1" ht="12.75" customHeight="1">
      <c r="A25" s="359"/>
      <c r="B25" s="336" t="str">
        <f>遭07!$F$19</f>
        <v>25+1d20☆</v>
      </c>
      <c r="C25" s="337"/>
      <c r="D25" s="246" t="str">
        <f>遭07!$C$19</f>
        <v>ＡＣ</v>
      </c>
      <c r="E25" s="337" t="str">
        <f>遭07!$F$20</f>
        <v>14+1d4+3d8</v>
      </c>
      <c r="F25" s="337"/>
      <c r="G25" s="261" t="str">
        <f>"攻撃の前後に"&amp;基本!$C$10+1&amp;"マスシフト可＆自力で戦術的優位可"</f>
        <v>攻撃の前後に6マスシフト可＆自力で戦術的優位可</v>
      </c>
    </row>
    <row r="26" spans="1:7" s="93" customFormat="1" ht="12.75" customHeight="1">
      <c r="A26" s="357">
        <f>遭13!$B$1</f>
        <v>13</v>
      </c>
      <c r="B26" s="338" t="str">
        <f>遭13!$B$2</f>
        <v>トーネード・ストライク</v>
      </c>
      <c r="C26" s="339"/>
      <c r="D26" s="339"/>
      <c r="E26" s="339"/>
      <c r="F26" s="340" t="str">
        <f>遭13!$B$6</f>
        <v>標準アクション</v>
      </c>
      <c r="G26" s="264" t="str">
        <f>遭07!$B$6</f>
        <v>標準アクション</v>
      </c>
    </row>
    <row r="27" spans="1:7" s="93" customFormat="1" ht="12.75" customHeight="1">
      <c r="A27" s="358"/>
      <c r="B27" s="254" t="str">
        <f>遭13!$F$6</f>
        <v>近接or遠隔</v>
      </c>
      <c r="C27" s="248" t="str">
        <f>遭13!$G$6</f>
        <v>武器</v>
      </c>
      <c r="D27" s="248" t="str">
        <f>遭13!$F$7</f>
        <v/>
      </c>
      <c r="E27" s="248" t="str">
        <f>遭13!$G$7</f>
        <v/>
      </c>
      <c r="F27" s="307" t="str">
        <f>遭13!$B$7</f>
        <v>クリーチャー１体または２体</v>
      </c>
      <c r="G27" s="308"/>
    </row>
    <row r="28" spans="1:7" s="93" customFormat="1" ht="12.75" customHeight="1">
      <c r="A28" s="359"/>
      <c r="B28" s="336" t="str">
        <f>遭13!$F$19</f>
        <v>25+1d20☆</v>
      </c>
      <c r="C28" s="337"/>
      <c r="D28" s="246" t="str">
        <f>遭13!$C$19</f>
        <v>AC</v>
      </c>
      <c r="E28" s="337" t="str">
        <f>遭13!$F$20</f>
        <v>14+2d4+3d8</v>
      </c>
      <c r="F28" s="337"/>
      <c r="G28" s="260" t="str">
        <f>遭13!$B$14</f>
        <v>　　　　　　　　　目標：6マス横滑り　使用者：その後３マス移動</v>
      </c>
    </row>
    <row r="29" spans="1:7" s="132" customFormat="1" ht="21" customHeight="1">
      <c r="A29" s="341" t="s">
        <v>444</v>
      </c>
      <c r="B29" s="341"/>
      <c r="C29" s="341"/>
      <c r="D29" s="341"/>
      <c r="E29" s="341"/>
      <c r="F29" s="341"/>
      <c r="G29" s="341"/>
    </row>
    <row r="30" spans="1:7" s="132" customFormat="1" ht="12.75" customHeight="1">
      <c r="A30" s="357">
        <f>遭03!$B$1</f>
        <v>3</v>
      </c>
      <c r="B30" s="338" t="str">
        <f>遭03!$B$2</f>
        <v>ロー・スラッシュ</v>
      </c>
      <c r="C30" s="339"/>
      <c r="D30" s="339"/>
      <c r="E30" s="339"/>
      <c r="F30" s="340"/>
      <c r="G30" s="264" t="str">
        <f>遭03!$B$6</f>
        <v>マイナー・アクション</v>
      </c>
    </row>
    <row r="31" spans="1:7" s="132" customFormat="1" ht="12.75" customHeight="1">
      <c r="A31" s="358"/>
      <c r="B31" s="256" t="str">
        <f>遭03!$F$6</f>
        <v>近接</v>
      </c>
      <c r="C31" s="248" t="str">
        <f>遭03!$G$6</f>
        <v>武器</v>
      </c>
      <c r="D31" s="248" t="str">
        <f>遭03!$F$7</f>
        <v/>
      </c>
      <c r="E31" s="248" t="str">
        <f>遭03!$G$7</f>
        <v/>
      </c>
      <c r="F31" s="307" t="str">
        <f>遭03!$B$7</f>
        <v>クリーチャー1体</v>
      </c>
      <c r="G31" s="308"/>
    </row>
    <row r="32" spans="1:7" s="132" customFormat="1" ht="12.75" customHeight="1">
      <c r="A32" s="359"/>
      <c r="B32" s="336" t="str">
        <f>遭03!$F$19</f>
        <v>25+1d20☆</v>
      </c>
      <c r="C32" s="337"/>
      <c r="D32" s="257" t="str">
        <f>遭03!$C$19</f>
        <v>反応</v>
      </c>
      <c r="E32" s="337" t="str">
        <f>遭03!$F$20</f>
        <v>14+1d4+3d8</v>
      </c>
      <c r="F32" s="337"/>
      <c r="G32" s="249" t="str">
        <f>"挟撃しているなら "&amp;基本!$C$10&amp;" の追加ダメージ"</f>
        <v>挟撃しているなら 5 の追加ダメージ</v>
      </c>
    </row>
    <row r="33" spans="1:7" s="132" customFormat="1" ht="12.75" customHeight="1">
      <c r="A33" s="357">
        <f>遭11!$B$1</f>
        <v>11</v>
      </c>
      <c r="B33" s="338" t="str">
        <f>遭11!$B$2</f>
        <v>クリティカル・オポチュニティ</v>
      </c>
      <c r="C33" s="339"/>
      <c r="D33" s="339"/>
      <c r="E33" s="339"/>
      <c r="F33" s="340" t="str">
        <f>遭11!$B$6</f>
        <v>マイナー・アクション</v>
      </c>
      <c r="G33" s="264" t="str">
        <f>遭03!$B$6</f>
        <v>マイナー・アクション</v>
      </c>
    </row>
    <row r="34" spans="1:7" s="132" customFormat="1" ht="12.75" customHeight="1">
      <c r="A34" s="358"/>
      <c r="B34" s="256" t="str">
        <f>遭11!$F$6</f>
        <v>近接</v>
      </c>
      <c r="C34" s="248" t="str">
        <f>遭11!$G$6</f>
        <v>武器</v>
      </c>
      <c r="D34" s="248" t="str">
        <f>遭11!$F$7</f>
        <v/>
      </c>
      <c r="E34" s="248" t="str">
        <f>遭11!$G$7</f>
        <v/>
      </c>
      <c r="F34" s="307" t="str">
        <f>遭11!$B$7</f>
        <v>使用者がクリティカル・ヒットを与えたクリーチャー</v>
      </c>
      <c r="G34" s="308"/>
    </row>
    <row r="35" spans="1:7" s="132" customFormat="1" ht="12.75" customHeight="1">
      <c r="A35" s="359"/>
      <c r="B35" s="336" t="str">
        <f>遭11!$F$16</f>
        <v>25+1d20☆</v>
      </c>
      <c r="C35" s="337"/>
      <c r="D35" s="246" t="str">
        <f>遭11!$C$16</f>
        <v>AC</v>
      </c>
      <c r="E35" s="337" t="str">
        <f>遭11!$F$17</f>
        <v>14+3d4+3d8</v>
      </c>
      <c r="F35" s="337"/>
      <c r="G35" s="249" t="s">
        <v>446</v>
      </c>
    </row>
    <row r="36" spans="1:7" s="132" customFormat="1" ht="12.75" customHeight="1">
      <c r="A36" s="357">
        <f>汎10!$B$1</f>
        <v>10</v>
      </c>
      <c r="B36" s="338" t="str">
        <f>汎10!$B$2</f>
        <v>デアリング・ギャンブル</v>
      </c>
      <c r="C36" s="339"/>
      <c r="D36" s="339"/>
      <c r="E36" s="339"/>
      <c r="F36" s="340" t="str">
        <f>汎10!$B$6</f>
        <v>マイナー・アクション</v>
      </c>
      <c r="G36" s="264" t="str">
        <f>汎12!$B$6</f>
        <v>マイナー・アクション</v>
      </c>
    </row>
    <row r="37" spans="1:7" s="132" customFormat="1" ht="12.75" customHeight="1">
      <c r="A37" s="358"/>
      <c r="B37" s="254" t="str">
        <f>汎10!$F$6</f>
        <v>使用者</v>
      </c>
      <c r="C37" s="248" t="str">
        <f>汎10!$G$6</f>
        <v/>
      </c>
      <c r="D37" s="248" t="str">
        <f>汎10!$F$7</f>
        <v/>
      </c>
      <c r="E37" s="248" t="str">
        <f>汎10!$G$7</f>
        <v/>
      </c>
      <c r="F37" s="307" t="str">
        <f>IF(汎10!$B$7="","",汎10!$B$7)</f>
        <v/>
      </c>
      <c r="G37" s="308"/>
    </row>
    <row r="38" spans="1:7" s="132" customFormat="1" ht="12.75" customHeight="1">
      <c r="A38" s="359"/>
      <c r="B38" s="336"/>
      <c r="C38" s="337"/>
      <c r="D38" s="246"/>
      <c r="E38" s="329" t="s">
        <v>447</v>
      </c>
      <c r="F38" s="330"/>
      <c r="G38" s="331"/>
    </row>
    <row r="39" spans="1:7" s="132" customFormat="1" ht="12.75" customHeight="1">
      <c r="A39" s="301">
        <f>汎12!$B$1</f>
        <v>12</v>
      </c>
      <c r="B39" s="304" t="str">
        <f>汎12!$B$2</f>
        <v>メディティション・オヴ・ザ・ブレード</v>
      </c>
      <c r="C39" s="305"/>
      <c r="D39" s="305"/>
      <c r="E39" s="305"/>
      <c r="F39" s="306" t="str">
        <f>汎12!$B$6</f>
        <v>マイナー・アクション</v>
      </c>
      <c r="G39" s="264" t="str">
        <f>汎12!$B$6</f>
        <v>マイナー・アクション</v>
      </c>
    </row>
    <row r="40" spans="1:7" s="132" customFormat="1" ht="12.75" customHeight="1">
      <c r="A40" s="302"/>
      <c r="B40" s="254" t="str">
        <f>汎12!$F$6</f>
        <v>使用者</v>
      </c>
      <c r="C40" s="248" t="str">
        <f>汎12!$G$6</f>
        <v/>
      </c>
      <c r="D40" s="248" t="str">
        <f>汎12!$F$7</f>
        <v/>
      </c>
      <c r="E40" s="248" t="str">
        <f>汎12!$G$7</f>
        <v/>
      </c>
      <c r="F40" s="307" t="str">
        <f>IF(汎12!$B$7="","",汎12!$B$7)</f>
        <v/>
      </c>
      <c r="G40" s="308"/>
    </row>
    <row r="41" spans="1:7" s="132" customFormat="1" ht="12.75" customHeight="1">
      <c r="A41" s="303"/>
      <c r="B41" s="336"/>
      <c r="C41" s="337"/>
      <c r="D41" s="246"/>
      <c r="E41" s="337"/>
      <c r="F41" s="337"/>
      <c r="G41" s="249" t="str">
        <f>汎12!$B$11</f>
        <v>つまり１d４が１d６になるって事さ！</v>
      </c>
    </row>
    <row r="42" spans="1:7" s="132" customFormat="1" ht="21" customHeight="1">
      <c r="A42" s="341" t="s">
        <v>445</v>
      </c>
      <c r="B42" s="341"/>
      <c r="C42" s="341"/>
      <c r="D42" s="341"/>
      <c r="E42" s="341"/>
      <c r="F42" s="341"/>
      <c r="G42" s="341"/>
    </row>
    <row r="43" spans="1:7" s="132" customFormat="1" ht="12.75" customHeight="1">
      <c r="A43" s="357" t="str">
        <f>種族遭!$B$1</f>
        <v>種族ﾊﾟﾜｰ</v>
      </c>
      <c r="B43" s="338" t="str">
        <f>種族遭!$B$2</f>
        <v>セカンド・チャンス</v>
      </c>
      <c r="C43" s="339"/>
      <c r="D43" s="339"/>
      <c r="E43" s="339"/>
      <c r="F43" s="340" t="str">
        <f>種族遭!$B$6</f>
        <v>即応・割込</v>
      </c>
      <c r="G43" s="264" t="str">
        <f>日09!$B$6</f>
        <v>即応・割込</v>
      </c>
    </row>
    <row r="44" spans="1:7" s="132" customFormat="1" ht="12.75" customHeight="1">
      <c r="A44" s="358"/>
      <c r="B44" s="254" t="str">
        <f>種族遭!$F$6</f>
        <v>使用者</v>
      </c>
      <c r="C44" s="248" t="str">
        <f>種族遭!$G$6</f>
        <v/>
      </c>
      <c r="D44" s="248" t="str">
        <f>種族遭!$F$7</f>
        <v/>
      </c>
      <c r="E44" s="248" t="str">
        <f>種族遭!$G$7</f>
        <v/>
      </c>
      <c r="F44" s="307" t="str">
        <f>IF(種族遭!$B$7="","",種族遭!$B$7)</f>
        <v/>
      </c>
      <c r="G44" s="308"/>
    </row>
    <row r="45" spans="1:7" s="132" customFormat="1" ht="12.75" customHeight="1">
      <c r="A45" s="359"/>
      <c r="B45" s="309"/>
      <c r="C45" s="310"/>
      <c r="D45" s="251"/>
      <c r="E45" s="310"/>
      <c r="F45" s="310"/>
      <c r="G45" s="259" t="str">
        <f>種族遭!$B$18</f>
        <v>　　　　　　　　-５のペナルティを受けて再ロール！</v>
      </c>
    </row>
    <row r="46" spans="1:7" s="132" customFormat="1" ht="12.75" customHeight="1">
      <c r="A46" s="301">
        <f>日09!$B$1</f>
        <v>9</v>
      </c>
      <c r="B46" s="304" t="str">
        <f>日09!$B$2</f>
        <v>プロフィット・フロム・ウィークネス</v>
      </c>
      <c r="C46" s="305"/>
      <c r="D46" s="305"/>
      <c r="E46" s="305"/>
      <c r="F46" s="306"/>
      <c r="G46" s="264" t="str">
        <f>日09!$B$6</f>
        <v>即応・割込</v>
      </c>
    </row>
    <row r="47" spans="1:7" s="93" customFormat="1" ht="12.75" customHeight="1">
      <c r="A47" s="302"/>
      <c r="B47" s="254" t="str">
        <f>日09!$F$6</f>
        <v>近接</v>
      </c>
      <c r="C47" s="248">
        <f>日09!$G$6</f>
        <v>1</v>
      </c>
      <c r="D47" s="248" t="str">
        <f>日09!$F$7</f>
        <v/>
      </c>
      <c r="E47" s="248" t="str">
        <f>日09!$G$7</f>
        <v/>
      </c>
      <c r="F47" s="307" t="str">
        <f>日09!$B$7</f>
        <v>トリガーを発生させた敵</v>
      </c>
      <c r="G47" s="308"/>
    </row>
    <row r="48" spans="1:7" s="93" customFormat="1" ht="12.75" customHeight="1">
      <c r="A48" s="303"/>
      <c r="B48" s="309" t="str">
        <f>日09!$F$21</f>
        <v>25+1d20☆</v>
      </c>
      <c r="C48" s="310"/>
      <c r="D48" s="258" t="str">
        <f>日09!$C$21</f>
        <v>反応</v>
      </c>
      <c r="E48" s="310" t="str">
        <f>日09!$F$23</f>
        <v>14+2d4+3d8</v>
      </c>
      <c r="F48" s="310"/>
      <c r="G48" s="252" t="s">
        <v>448</v>
      </c>
    </row>
    <row r="49" spans="1:7" s="132" customFormat="1" ht="21" customHeight="1">
      <c r="A49" s="341" t="s">
        <v>458</v>
      </c>
      <c r="B49" s="341"/>
      <c r="C49" s="341"/>
      <c r="D49" s="341"/>
      <c r="E49" s="341"/>
      <c r="F49" s="341"/>
      <c r="G49" s="341"/>
    </row>
    <row r="50" spans="1:7" s="132" customFormat="1" ht="12.75" customHeight="1">
      <c r="A50" s="357">
        <f>汎06!$B$1</f>
        <v>6</v>
      </c>
      <c r="B50" s="338" t="str">
        <f>汎06!$B$2</f>
        <v>イグノーブル・エスケイプ</v>
      </c>
      <c r="C50" s="339"/>
      <c r="D50" s="339"/>
      <c r="E50" s="339"/>
      <c r="F50" s="340" t="str">
        <f>汎06!$B$6</f>
        <v>移動アクション</v>
      </c>
      <c r="G50" s="264" t="str">
        <f>汎06!$B$6</f>
        <v>移動アクション</v>
      </c>
    </row>
    <row r="51" spans="1:7" s="132" customFormat="1" ht="12.75" customHeight="1">
      <c r="A51" s="358"/>
      <c r="B51" s="254" t="str">
        <f>汎06!$F$6</f>
        <v>使用者</v>
      </c>
      <c r="C51" s="248" t="str">
        <f>汎06!$G$6</f>
        <v/>
      </c>
      <c r="D51" s="248" t="str">
        <f>汎06!$F$7</f>
        <v/>
      </c>
      <c r="E51" s="248" t="str">
        <f>汎06!$G$7</f>
        <v/>
      </c>
      <c r="F51" s="307" t="str">
        <f>IF(汎06!$B$7="","",汎06!$B$7)</f>
        <v/>
      </c>
      <c r="G51" s="308"/>
    </row>
    <row r="52" spans="1:7" s="132" customFormat="1" ht="12.75" customHeight="1">
      <c r="A52" s="359"/>
      <c r="B52" s="309"/>
      <c r="C52" s="310"/>
      <c r="D52" s="251"/>
      <c r="E52" s="310"/>
      <c r="F52" s="310"/>
      <c r="G52" s="252" t="s">
        <v>450</v>
      </c>
    </row>
    <row r="53" spans="1:7" s="132" customFormat="1" ht="12.75" customHeight="1">
      <c r="A53" s="301">
        <f>汎02!$B$1</f>
        <v>2</v>
      </c>
      <c r="B53" s="304" t="str">
        <f>日15!$B$2</f>
        <v>ブラッディ・パス</v>
      </c>
      <c r="C53" s="305"/>
      <c r="D53" s="305"/>
      <c r="E53" s="305"/>
      <c r="F53" s="306"/>
      <c r="G53" s="264" t="str">
        <f>日15!$B$6</f>
        <v>標準アクション</v>
      </c>
    </row>
    <row r="54" spans="1:7" s="132" customFormat="1" ht="12.75" customHeight="1">
      <c r="A54" s="302"/>
      <c r="B54" s="254" t="str">
        <f>日15!$F$6</f>
        <v>使用者</v>
      </c>
      <c r="C54" s="248" t="str">
        <f>日15!$G$6</f>
        <v/>
      </c>
      <c r="D54" s="248" t="str">
        <f>日15!$F$7</f>
        <v/>
      </c>
      <c r="E54" s="248" t="str">
        <f>日15!$G$7</f>
        <v/>
      </c>
      <c r="F54" s="307" t="s">
        <v>456</v>
      </c>
      <c r="G54" s="308"/>
    </row>
    <row r="55" spans="1:7" s="132" customFormat="1" ht="12.75" customHeight="1">
      <c r="A55" s="303"/>
      <c r="B55" s="309"/>
      <c r="C55" s="310"/>
      <c r="D55" s="263"/>
      <c r="E55" s="329" t="s">
        <v>457</v>
      </c>
      <c r="F55" s="330"/>
      <c r="G55" s="331"/>
    </row>
    <row r="56" spans="1:7" s="132" customFormat="1" ht="4.5" customHeight="1">
      <c r="A56"/>
      <c r="B56"/>
      <c r="C56"/>
      <c r="D56"/>
      <c r="E56"/>
      <c r="F56"/>
      <c r="G56"/>
    </row>
    <row r="57" spans="1:7" s="132" customFormat="1" ht="12.75" customHeight="1">
      <c r="A57" s="332" t="s">
        <v>459</v>
      </c>
      <c r="B57" s="317" t="str">
        <f>"＜通常時＞     機会攻撃に対し　ACだけに　＋"&amp;基本!$C$10+2</f>
        <v>＜通常時＞     機会攻撃に対し　ACだけに　＋7</v>
      </c>
      <c r="C57" s="318"/>
      <c r="D57" s="318"/>
      <c r="E57" s="318"/>
      <c r="F57" s="318"/>
      <c r="G57" s="319"/>
    </row>
    <row r="58" spans="1:7" s="132" customFormat="1" ht="12.75" customHeight="1">
      <c r="A58" s="333"/>
      <c r="B58" s="320" t="str">
        <f>汎10!$B$12</f>
        <v>移動も遠隔も　　ＡＣ：37　　頑健：21　　反応：29　　意志：27　</v>
      </c>
      <c r="C58" s="321"/>
      <c r="D58" s="321"/>
      <c r="E58" s="321"/>
      <c r="F58" s="321"/>
      <c r="G58" s="322"/>
    </row>
    <row r="59" spans="1:7" ht="12.75" customHeight="1">
      <c r="A59" s="334" t="s">
        <v>460</v>
      </c>
      <c r="B59" s="323" t="str">
        <f>汎10!$B$13</f>
        <v>＜デフト･ストライクの移動時＞機会攻撃に対し　更に全防御値に　＋5</v>
      </c>
      <c r="C59" s="324"/>
      <c r="D59" s="324"/>
      <c r="E59" s="324"/>
      <c r="F59" s="324"/>
      <c r="G59" s="325"/>
    </row>
    <row r="60" spans="1:7" ht="12.75" customHeight="1">
      <c r="A60" s="335"/>
      <c r="B60" s="326" t="str">
        <f>汎10!$B$14</f>
        <v>移動中だけ　　　ＡＣ：42　　頑健：26　　反応：34　　意志：32　</v>
      </c>
      <c r="C60" s="327"/>
      <c r="D60" s="327"/>
      <c r="E60" s="327"/>
      <c r="F60" s="327"/>
      <c r="G60" s="328"/>
    </row>
    <row r="61" spans="1:7" ht="6.75" customHeight="1"/>
    <row r="62" spans="1:7" s="132" customFormat="1" ht="12.75" customHeight="1">
      <c r="A62" s="311">
        <f>汎02!$B$1</f>
        <v>2</v>
      </c>
      <c r="B62" s="314" t="str">
        <f>汎02!$B$2</f>
        <v>ファスト･ハンズ</v>
      </c>
      <c r="C62" s="315"/>
      <c r="D62" s="315"/>
      <c r="E62" s="315"/>
      <c r="F62" s="316" t="e">
        <f>#REF!</f>
        <v>#REF!</v>
      </c>
      <c r="G62" s="253" t="str">
        <f>汎02!$B$6</f>
        <v>フリー・アクション(特殊)</v>
      </c>
    </row>
    <row r="63" spans="1:7" s="132" customFormat="1" ht="12.75" customHeight="1">
      <c r="A63" s="312"/>
      <c r="B63" s="254" t="str">
        <f>汎02!$F$6</f>
        <v>使用者</v>
      </c>
      <c r="C63" s="248" t="str">
        <f>汎02!$G$6</f>
        <v/>
      </c>
      <c r="D63" s="248" t="str">
        <f>汎02!$F$7</f>
        <v/>
      </c>
      <c r="E63" s="248" t="str">
        <f>汎02!$G$7</f>
        <v/>
      </c>
      <c r="F63" s="307" t="str">
        <f>IF(汎02!$B$7="","",汎02!$B$7)</f>
        <v/>
      </c>
      <c r="G63" s="308"/>
    </row>
    <row r="64" spans="1:7" s="132" customFormat="1" ht="12.75" customHeight="1">
      <c r="A64" s="313"/>
      <c r="B64" s="309"/>
      <c r="C64" s="310"/>
      <c r="D64" s="262"/>
      <c r="E64" s="310"/>
      <c r="F64" s="310"/>
      <c r="G64" s="252" t="s">
        <v>538</v>
      </c>
    </row>
  </sheetData>
  <mergeCells count="99">
    <mergeCell ref="A39:A41"/>
    <mergeCell ref="A23:A25"/>
    <mergeCell ref="B23:F23"/>
    <mergeCell ref="A20:A22"/>
    <mergeCell ref="B20:F20"/>
    <mergeCell ref="F21:G21"/>
    <mergeCell ref="B22:C22"/>
    <mergeCell ref="E22:F22"/>
    <mergeCell ref="E52:F52"/>
    <mergeCell ref="B39:F39"/>
    <mergeCell ref="F40:G40"/>
    <mergeCell ref="F44:G44"/>
    <mergeCell ref="B45:C45"/>
    <mergeCell ref="B50:F50"/>
    <mergeCell ref="B41:C41"/>
    <mergeCell ref="B46:F46"/>
    <mergeCell ref="F47:G47"/>
    <mergeCell ref="B48:C48"/>
    <mergeCell ref="E48:F48"/>
    <mergeCell ref="E4:F4"/>
    <mergeCell ref="B4:C4"/>
    <mergeCell ref="E41:F41"/>
    <mergeCell ref="A16:A18"/>
    <mergeCell ref="B15:C15"/>
    <mergeCell ref="E15:F15"/>
    <mergeCell ref="F14:G14"/>
    <mergeCell ref="A13:A15"/>
    <mergeCell ref="B13:F13"/>
    <mergeCell ref="A26:A28"/>
    <mergeCell ref="B26:F26"/>
    <mergeCell ref="B33:F33"/>
    <mergeCell ref="F34:G34"/>
    <mergeCell ref="B35:C35"/>
    <mergeCell ref="E35:F35"/>
    <mergeCell ref="A33:A35"/>
    <mergeCell ref="A2:A4"/>
    <mergeCell ref="B2:F2"/>
    <mergeCell ref="B6:F6"/>
    <mergeCell ref="B9:F9"/>
    <mergeCell ref="B11:C11"/>
    <mergeCell ref="E11:F11"/>
    <mergeCell ref="A6:A8"/>
    <mergeCell ref="A9:A11"/>
    <mergeCell ref="A5:G5"/>
    <mergeCell ref="F7:G7"/>
    <mergeCell ref="B8:C8"/>
    <mergeCell ref="E8:F8"/>
    <mergeCell ref="F10:G10"/>
    <mergeCell ref="D3:E3"/>
    <mergeCell ref="B3:C3"/>
    <mergeCell ref="F3:G3"/>
    <mergeCell ref="B32:C32"/>
    <mergeCell ref="E32:F32"/>
    <mergeCell ref="A29:G29"/>
    <mergeCell ref="F51:G51"/>
    <mergeCell ref="A12:G12"/>
    <mergeCell ref="A30:A32"/>
    <mergeCell ref="B30:F30"/>
    <mergeCell ref="A49:G49"/>
    <mergeCell ref="A42:G42"/>
    <mergeCell ref="A43:A45"/>
    <mergeCell ref="B43:F43"/>
    <mergeCell ref="E45:F45"/>
    <mergeCell ref="A36:A38"/>
    <mergeCell ref="E38:G38"/>
    <mergeCell ref="A46:A48"/>
    <mergeCell ref="A50:A52"/>
    <mergeCell ref="B52:C52"/>
    <mergeCell ref="B16:F16"/>
    <mergeCell ref="B25:C25"/>
    <mergeCell ref="E25:F25"/>
    <mergeCell ref="F27:G27"/>
    <mergeCell ref="B28:C28"/>
    <mergeCell ref="E28:F28"/>
    <mergeCell ref="F24:G24"/>
    <mergeCell ref="F17:G17"/>
    <mergeCell ref="B18:C18"/>
    <mergeCell ref="E18:F18"/>
    <mergeCell ref="B36:F36"/>
    <mergeCell ref="F37:G37"/>
    <mergeCell ref="B38:C38"/>
    <mergeCell ref="A19:G19"/>
    <mergeCell ref="F31:G31"/>
    <mergeCell ref="A53:A55"/>
    <mergeCell ref="B53:F53"/>
    <mergeCell ref="F54:G54"/>
    <mergeCell ref="B55:C55"/>
    <mergeCell ref="A62:A64"/>
    <mergeCell ref="B62:F62"/>
    <mergeCell ref="F63:G63"/>
    <mergeCell ref="B64:C64"/>
    <mergeCell ref="E64:F64"/>
    <mergeCell ref="B57:G57"/>
    <mergeCell ref="B58:G58"/>
    <mergeCell ref="B59:G59"/>
    <mergeCell ref="B60:G60"/>
    <mergeCell ref="E55:G55"/>
    <mergeCell ref="A57:A58"/>
    <mergeCell ref="A59:A60"/>
  </mergeCells>
  <phoneticPr fontId="1"/>
  <pageMargins left="0.70866141732283472" right="0.70866141732283472" top="0.47244094488188981" bottom="0.31496062992125984" header="0.31496062992125984" footer="0"/>
  <pageSetup paperSize="9" orientation="portrait" horizontalDpi="300" verticalDpi="300" r:id="rId1"/>
  <headerFooter>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1"/>
  <sheetViews>
    <sheetView workbookViewId="0"/>
  </sheetViews>
  <sheetFormatPr defaultRowHeight="13.5"/>
  <cols>
    <col min="1" max="1" width="7.875" style="132" customWidth="1"/>
    <col min="2" max="2" width="8.5" style="132" customWidth="1"/>
    <col min="3" max="3" width="6.625" style="132" customWidth="1"/>
    <col min="4" max="4" width="15.75" style="132" customWidth="1"/>
    <col min="5" max="6" width="15.75" style="94" customWidth="1"/>
    <col min="7" max="7" width="18.25" style="94" customWidth="1"/>
    <col min="8" max="8" width="17.375" style="94" customWidth="1"/>
    <col min="9" max="9" width="14.625" style="94" customWidth="1"/>
    <col min="10" max="10" width="8.375" style="94" customWidth="1"/>
    <col min="11" max="11" width="7.5" style="94" customWidth="1"/>
    <col min="12" max="12" width="7.875" style="132" customWidth="1"/>
    <col min="13" max="13" width="9.25" style="132" customWidth="1"/>
    <col min="14" max="14" width="12.375" style="132" customWidth="1"/>
    <col min="15" max="16384" width="9" style="132"/>
  </cols>
  <sheetData>
    <row r="1" spans="1:13" ht="21">
      <c r="A1" s="11"/>
      <c r="B1" s="392"/>
      <c r="C1" s="393"/>
      <c r="D1" s="13" t="s">
        <v>39</v>
      </c>
      <c r="E1" s="12" t="s">
        <v>40</v>
      </c>
      <c r="F1" s="394"/>
      <c r="G1" s="395"/>
      <c r="H1" s="100" t="s">
        <v>54</v>
      </c>
    </row>
    <row r="2" spans="1:13" ht="24.75" customHeight="1">
      <c r="A2" s="13" t="s">
        <v>0</v>
      </c>
      <c r="B2" s="396" t="s">
        <v>216</v>
      </c>
      <c r="C2" s="396"/>
      <c r="D2" s="396"/>
      <c r="E2" s="396"/>
      <c r="F2" s="396"/>
      <c r="G2" s="396"/>
      <c r="H2" s="100" t="s">
        <v>55</v>
      </c>
    </row>
    <row r="3" spans="1:13" ht="19.5" customHeight="1">
      <c r="A3" s="99" t="s">
        <v>47</v>
      </c>
      <c r="B3" s="94"/>
      <c r="C3" s="94"/>
      <c r="D3" s="94"/>
      <c r="I3" s="100"/>
    </row>
    <row r="4" spans="1:13">
      <c r="A4" s="101" t="s">
        <v>45</v>
      </c>
      <c r="B4" s="397"/>
      <c r="C4" s="398"/>
      <c r="D4" s="398"/>
      <c r="E4" s="398"/>
      <c r="F4" s="398"/>
      <c r="G4" s="399"/>
    </row>
    <row r="5" spans="1:13">
      <c r="A5" s="102" t="s">
        <v>38</v>
      </c>
      <c r="B5" s="397"/>
      <c r="C5" s="398"/>
      <c r="D5" s="398"/>
      <c r="E5" s="398"/>
      <c r="F5" s="398"/>
      <c r="G5" s="399"/>
    </row>
    <row r="6" spans="1:13">
      <c r="A6" s="102" t="s">
        <v>6</v>
      </c>
      <c r="B6" s="397" t="s">
        <v>4</v>
      </c>
      <c r="C6" s="398"/>
      <c r="D6" s="399"/>
      <c r="E6" s="149" t="s">
        <v>42</v>
      </c>
      <c r="F6" s="148" t="str">
        <f>$I$6</f>
        <v>近接</v>
      </c>
      <c r="G6" s="148" t="str">
        <f>$J$6</f>
        <v>武器</v>
      </c>
      <c r="H6" s="140" t="s">
        <v>42</v>
      </c>
      <c r="I6" s="142" t="s">
        <v>70</v>
      </c>
      <c r="J6" s="142" t="s">
        <v>178</v>
      </c>
    </row>
    <row r="7" spans="1:13">
      <c r="A7" s="103" t="s">
        <v>5</v>
      </c>
      <c r="B7" s="397" t="s">
        <v>94</v>
      </c>
      <c r="C7" s="398"/>
      <c r="D7" s="399"/>
      <c r="E7" s="149" t="s">
        <v>67</v>
      </c>
      <c r="F7" s="148" t="str">
        <f>IF($I$7 = 0,"", $I$7)</f>
        <v/>
      </c>
      <c r="G7" s="148" t="str">
        <f>IF($J$7 = 0,"", $J$7)</f>
        <v/>
      </c>
      <c r="H7" s="140" t="s">
        <v>67</v>
      </c>
      <c r="I7" s="142"/>
      <c r="J7" s="142"/>
    </row>
    <row r="8" spans="1:13">
      <c r="A8" s="103" t="s">
        <v>7</v>
      </c>
      <c r="B8" s="397" t="s">
        <v>264</v>
      </c>
      <c r="C8" s="398"/>
      <c r="D8" s="398"/>
      <c r="E8" s="398"/>
      <c r="F8" s="398"/>
      <c r="G8" s="399"/>
      <c r="H8" s="140" t="s">
        <v>87</v>
      </c>
      <c r="I8" s="142" t="s">
        <v>165</v>
      </c>
      <c r="J8" s="100" t="s">
        <v>63</v>
      </c>
    </row>
    <row r="9" spans="1:13">
      <c r="A9" s="105" t="s">
        <v>8</v>
      </c>
      <c r="B9" s="400" t="s">
        <v>226</v>
      </c>
      <c r="C9" s="401"/>
      <c r="D9" s="401"/>
      <c r="E9" s="401"/>
      <c r="F9" s="401"/>
      <c r="G9" s="402"/>
      <c r="H9" s="140" t="s">
        <v>50</v>
      </c>
      <c r="I9" s="142" t="s">
        <v>13</v>
      </c>
      <c r="J9" s="141">
        <f>IF($I$9 = "筋力",基本!$C$5,IF($I$9 = "耐久力",基本!$C$6,IF($I$9 = "敏捷力",基本!$C$7,IF($I$9 = "知力",基本!$C$8,IF($I$9 = "判断力",基本!$C$9,IF($I$9 = "魅力",基本!$C$10,""))))))</f>
        <v>6</v>
      </c>
      <c r="K9" s="142" t="s">
        <v>224</v>
      </c>
    </row>
    <row r="10" spans="1:13">
      <c r="A10" s="104"/>
      <c r="B10" s="372" t="s">
        <v>227</v>
      </c>
      <c r="C10" s="365"/>
      <c r="D10" s="365"/>
      <c r="E10" s="365"/>
      <c r="F10" s="365"/>
      <c r="G10" s="366"/>
      <c r="H10" s="140" t="s">
        <v>59</v>
      </c>
      <c r="I10" s="142">
        <v>0</v>
      </c>
      <c r="J10" s="296" t="s">
        <v>52</v>
      </c>
      <c r="K10" s="297"/>
      <c r="L10" s="141">
        <f>IF($I$8=基本!$F$4,基本!$O$7,IF($I$8=基本!$F$13,基本!$O$16,IF($I$8=基本!$F$22,基本!$O$25,IF($I$8=基本!$F$31,基本!$O$34,IF($I$8=基本!$F$40,基本!$O$43,0)))))</f>
        <v>17</v>
      </c>
    </row>
    <row r="11" spans="1:13">
      <c r="A11" s="104"/>
      <c r="B11" s="372"/>
      <c r="C11" s="365"/>
      <c r="D11" s="365"/>
      <c r="E11" s="365"/>
      <c r="F11" s="365"/>
      <c r="G11" s="366"/>
      <c r="H11" s="108" t="s">
        <v>51</v>
      </c>
      <c r="I11" s="142" t="s">
        <v>13</v>
      </c>
      <c r="J11" s="110">
        <f>IF($I$9 = "筋力",基本!$C$5,IF($I$11 = "耐久力",基本!$C$6,IF($I$11 = "敏捷力",基本!$C$7,IF($I$11 = "知力",基本!$C$8,IF($I$11 = "判断力",基本!$C$9,IF($I$11 = "魅力",基本!$C$10,""))))))</f>
        <v>6</v>
      </c>
      <c r="L11" s="94"/>
    </row>
    <row r="12" spans="1:13" ht="20.25" customHeight="1">
      <c r="A12" s="104"/>
      <c r="B12" s="373" t="s">
        <v>282</v>
      </c>
      <c r="C12" s="374"/>
      <c r="D12" s="374"/>
      <c r="E12" s="374"/>
      <c r="F12" s="374"/>
      <c r="G12" s="375"/>
      <c r="H12" s="140" t="s">
        <v>60</v>
      </c>
      <c r="I12" s="142">
        <v>0</v>
      </c>
      <c r="J12" s="296" t="s">
        <v>53</v>
      </c>
      <c r="K12" s="297"/>
      <c r="L12" s="141">
        <f>IF($I$8=基本!$F$4,基本!$O$9,IF($I$8=基本!$F$13,基本!$O$18,IF($I$8=基本!$F$22,基本!$O$27,IF($I$8=基本!$F$31,基本!$O$36,IF($I$8=基本!$F$40,基本!$O$45,0)))))</f>
        <v>6</v>
      </c>
    </row>
    <row r="13" spans="1:13" ht="18" customHeight="1">
      <c r="A13" s="104"/>
      <c r="B13" s="376" t="s">
        <v>283</v>
      </c>
      <c r="C13" s="377"/>
      <c r="D13" s="377"/>
      <c r="E13" s="377"/>
      <c r="F13" s="377"/>
      <c r="G13" s="378"/>
      <c r="H13" s="109" t="s">
        <v>88</v>
      </c>
      <c r="I13" s="142">
        <v>1</v>
      </c>
      <c r="J13" s="140" t="s">
        <v>43</v>
      </c>
      <c r="K13" s="142">
        <v>4</v>
      </c>
      <c r="L13" s="142">
        <v>6</v>
      </c>
      <c r="M13" s="147" t="s">
        <v>166</v>
      </c>
    </row>
    <row r="14" spans="1:13">
      <c r="A14" s="104"/>
      <c r="B14" s="364"/>
      <c r="C14" s="365"/>
      <c r="D14" s="365"/>
      <c r="E14" s="365"/>
      <c r="F14" s="365"/>
      <c r="G14" s="366"/>
      <c r="H14" s="140" t="s">
        <v>49</v>
      </c>
      <c r="I14" s="142">
        <v>4</v>
      </c>
      <c r="J14" s="140" t="s">
        <v>43</v>
      </c>
      <c r="K14" s="142">
        <v>12</v>
      </c>
    </row>
    <row r="15" spans="1:13">
      <c r="A15" s="106"/>
      <c r="B15" s="367"/>
      <c r="C15" s="368"/>
      <c r="D15" s="368"/>
      <c r="E15" s="368"/>
      <c r="F15" s="368"/>
      <c r="G15" s="369"/>
      <c r="H15" s="140" t="s">
        <v>61</v>
      </c>
      <c r="I15" s="142"/>
    </row>
    <row r="16" spans="1:13" ht="14.25" thickBot="1">
      <c r="A16" s="14" t="s">
        <v>46</v>
      </c>
      <c r="E16" s="3"/>
      <c r="H16" s="140" t="s">
        <v>130</v>
      </c>
      <c r="I16" s="119">
        <f>基本!$B$21</f>
        <v>3</v>
      </c>
      <c r="J16" s="140" t="s">
        <v>43</v>
      </c>
      <c r="K16" s="119">
        <f>基本!$D$21</f>
        <v>8</v>
      </c>
    </row>
    <row r="17" spans="1:11" ht="13.5" customHeight="1">
      <c r="A17" s="379" t="str">
        <f>$B$2</f>
        <v>近接基礎攻撃</v>
      </c>
      <c r="B17" s="380"/>
      <c r="C17" s="381"/>
      <c r="D17" s="182" t="s">
        <v>244</v>
      </c>
      <c r="E17" s="385" t="s">
        <v>243</v>
      </c>
      <c r="F17" s="386"/>
      <c r="G17" s="387"/>
      <c r="H17" s="162" t="s">
        <v>167</v>
      </c>
      <c r="I17" s="119">
        <f>基本!$B$23</f>
        <v>1</v>
      </c>
      <c r="J17" s="139" t="s">
        <v>43</v>
      </c>
      <c r="K17" s="119">
        <f>基本!$D$23</f>
        <v>10</v>
      </c>
    </row>
    <row r="18" spans="1:11" s="168" customFormat="1" ht="18.75" customHeight="1" thickBot="1">
      <c r="A18" s="382"/>
      <c r="B18" s="383"/>
      <c r="C18" s="384"/>
      <c r="D18" s="163" t="s">
        <v>240</v>
      </c>
      <c r="E18" s="164" t="s">
        <v>239</v>
      </c>
      <c r="F18" s="165" t="s">
        <v>241</v>
      </c>
      <c r="G18" s="166" t="s">
        <v>242</v>
      </c>
      <c r="H18" s="159"/>
      <c r="I18" s="167"/>
      <c r="J18" s="159"/>
      <c r="K18" s="167"/>
    </row>
    <row r="19" spans="1:11" ht="23.25" customHeight="1" thickBot="1">
      <c r="A19" s="176" t="s">
        <v>41</v>
      </c>
      <c r="B19" s="390" t="str">
        <f>$K$9</f>
        <v>AC/反応</v>
      </c>
      <c r="C19" s="391"/>
      <c r="D19" s="177" t="str">
        <f>$J$9+$L$10+$I$10 &amp; "+1d20"</f>
        <v>23+1d20</v>
      </c>
      <c r="E19" s="178" t="str">
        <f>$J$9+$L$10+2+$I$10 &amp; "+1d20"</f>
        <v>25+1d20</v>
      </c>
      <c r="F19" s="181" t="str">
        <f>$J$9+$L$10+2+$I$10 &amp; "+1d20"</f>
        <v>25+1d20</v>
      </c>
      <c r="G19" s="179" t="str">
        <f>$J$9+$L$10+2+1+$I$10 &amp; "+1d20"</f>
        <v>26+1d20</v>
      </c>
      <c r="H19" s="132"/>
      <c r="I19" s="132"/>
      <c r="J19" s="132"/>
      <c r="K19" s="132"/>
    </row>
    <row r="20" spans="1:11" ht="23.25" customHeight="1">
      <c r="A20" s="388" t="s">
        <v>1</v>
      </c>
      <c r="B20" s="171" t="s">
        <v>3</v>
      </c>
      <c r="C20" s="172" t="str">
        <f>IF($I$15 = 0,"", $I$15)</f>
        <v/>
      </c>
      <c r="D20" s="173" t="str">
        <f>INT($J$11/2)+$L$12+$I$12 &amp; "+" &amp; $I$13 &amp; "d" &amp; $K$13</f>
        <v>9+1d4</v>
      </c>
      <c r="E20" s="174" t="str">
        <f>INT($J$11/2)+$L$12+$I$12+2 &amp; "+" &amp; $I$13 &amp; "d" &amp; $K$13</f>
        <v>11+1d4</v>
      </c>
      <c r="F20" s="180" t="str">
        <f>INT($J$11/2)+$L$12+$I$12+2 &amp; "+" &amp; $I$13 &amp; "d" &amp; $K$13 &amp; "+" &amp; $I$16 &amp; "d" &amp; $K$16</f>
        <v>11+1d4+3d8</v>
      </c>
      <c r="G20" s="175" t="str">
        <f>INT($J$11/2)+$L$12+$I$12+2 &amp; "+" &amp; $I$13 &amp; "d" &amp; $K$13 &amp; "+" &amp; $I$16 &amp; "d" &amp; $K$16</f>
        <v>11+1d4+3d8</v>
      </c>
      <c r="H20" s="132"/>
      <c r="I20" s="132"/>
      <c r="J20" s="132"/>
      <c r="K20" s="132"/>
    </row>
    <row r="21" spans="1:11" ht="23.25" customHeight="1" thickBot="1">
      <c r="A21" s="389"/>
      <c r="B21" s="92" t="s">
        <v>2</v>
      </c>
      <c r="C21" s="87" t="str">
        <f>IF($I$15 = 0,"", $I$15)</f>
        <v/>
      </c>
      <c r="D21" s="88" t="str">
        <f>INT($J$11/2)+$L$12+$I$12+($I$13*$K$13) &amp; IF($I$14 = 0,"","+" &amp; $I$14 &amp; "d" &amp; $K$14) &amp; IF($I$17 = 0,"","+" &amp; $I$17 &amp; "d" &amp; $K$17) &amp;"★"</f>
        <v>13+4d12+1d10★</v>
      </c>
      <c r="E21" s="151" t="str">
        <f>INT($J$11/2)+$L$12+$I$12+2+($I$13*$K$13)&amp; IF($I$14 = 0,"","+" &amp; $I$14 &amp; "d" &amp; $K$14) &amp; IF($I$17 = 0,"","+" &amp; $I$17 &amp; "d" &amp; $K$17) &amp;"★"</f>
        <v>15+4d12+1d10★</v>
      </c>
      <c r="F21" s="169" t="str">
        <f>INT($J$11/2)+$L$12+$I$12+2+($I$13*$K$13)+($I$16*$K$16) &amp; IF($I$14 = 0,"","+" &amp; $I$14 &amp; "d" &amp; $K$14) &amp; IF($I$17 = 0,"","+" &amp; $I$17 &amp; "d" &amp; $K$17) &amp;"★"</f>
        <v>39+4d12+1d10★</v>
      </c>
      <c r="G21" s="89" t="str">
        <f>INT($J$11/2)+$L$12+$I$12+2+($I$13*$K$13)+($I$16*$K$16) &amp; IF($I$14 = 0,"","+" &amp; $I$14 &amp; "d" &amp; $K$14) &amp; IF($I$17 = 0,"","+" &amp; $I$17 &amp; "d" &amp; $K$17) &amp;"★"</f>
        <v>39+4d12+1d10★</v>
      </c>
      <c r="J21" s="132"/>
      <c r="K21" s="132"/>
    </row>
    <row r="22" spans="1:11" ht="23.25" customHeight="1">
      <c r="A22" s="370" t="str">
        <f>汎12!$B$2</f>
        <v>メディティション・オヴ・ザ・ブレード</v>
      </c>
      <c r="B22" s="146" t="s">
        <v>3</v>
      </c>
      <c r="C22" s="86" t="str">
        <f>IF($I$15 = 0,"", $I$15)</f>
        <v/>
      </c>
      <c r="D22" s="154" t="str">
        <f>INT($J$11/2)+$L$12+$I$12 &amp; "+" &amp; $I$13 &amp; "d" &amp; $L$13</f>
        <v>9+1d6</v>
      </c>
      <c r="E22" s="155" t="str">
        <f>INT($J$11/2)+$L$12+$I$12 &amp;  "+" &amp; $I$13 &amp; "d" &amp; $L$13</f>
        <v>9+1d6</v>
      </c>
      <c r="F22" s="170" t="str">
        <f>INT($J$11/2)+$L$12+$I$12+2 &amp; "+" &amp; $I$13 &amp; "d" &amp; $L$13 &amp; "+" &amp; $I$16 &amp; "d" &amp; $K$16</f>
        <v>11+1d6+3d8</v>
      </c>
      <c r="G22" s="156" t="str">
        <f>INT($J$11/2)+$L$12+$I$12+2 &amp; "+" &amp; $I$13 &amp; "d" &amp; $L$13 &amp; "+" &amp; $I$16 &amp; "d" &amp; $K$16</f>
        <v>11+1d6+3d8</v>
      </c>
      <c r="H22" s="132"/>
      <c r="I22" s="132"/>
      <c r="J22" s="132"/>
      <c r="K22" s="132"/>
    </row>
    <row r="23" spans="1:11" ht="23.25" customHeight="1" thickBot="1">
      <c r="A23" s="371"/>
      <c r="B23" s="92" t="s">
        <v>2</v>
      </c>
      <c r="C23" s="87" t="str">
        <f>IF($I$15 = 0,"", $I$15)</f>
        <v/>
      </c>
      <c r="D23" s="88" t="str">
        <f>INT($J$11/2)+$L$12+$I$12+($I$13*$L$13) &amp; IF($I$14 = 0,"","+" &amp; $I$14 &amp; "d" &amp; $K$14) &amp; IF($I$17 = 0,"","+" &amp; $I$17 &amp; "d" &amp; $K$17) &amp;"★"</f>
        <v>15+4d12+1d10★</v>
      </c>
      <c r="E23" s="151" t="str">
        <f>INT($J$11/2)+$L$12+$I$12+2+($I$13*$L$13)&amp; IF($I$14 = 0,"","+" &amp; $I$14 &amp; "d" &amp; $K$14) &amp; IF($I$17 = 0,"","+" &amp; $I$17 &amp; "d" &amp; $K$17) &amp;"★"</f>
        <v>17+4d12+1d10★</v>
      </c>
      <c r="F23" s="169" t="str">
        <f>INT($J$11/2)+$L$12+$I$12+2+($I$13*$L$13)+($I$16*$K$16) &amp; IF($I$14 = 0,"","+" &amp; $I$14 &amp; "d" &amp; $K$14) &amp; IF($I$17 = 0,"","+" &amp; $I$17 &amp; "d" &amp; $K$17) &amp;"★"</f>
        <v>41+4d12+1d10★</v>
      </c>
      <c r="G23" s="89" t="str">
        <f>INT($J$11/2)+$L$12+$I$12+2+($I$13*$L$13)+($I$16*$K$16) &amp; IF($I$14 = 0,"","+" &amp; $I$14 &amp; "d" &amp; $K$14) &amp; IF($I$17 = 0,"","+" &amp; $I$17 &amp; "d" &amp; $K$17) &amp;"★"</f>
        <v>41+4d12+1d10★</v>
      </c>
      <c r="H23" s="132"/>
      <c r="I23" s="132"/>
      <c r="J23" s="132"/>
      <c r="K23" s="132"/>
    </row>
    <row r="24" spans="1:11" ht="24" customHeight="1">
      <c r="A24" s="360" t="s">
        <v>170</v>
      </c>
      <c r="B24" s="360"/>
      <c r="C24" s="360"/>
      <c r="D24" s="360"/>
      <c r="E24" s="360"/>
      <c r="F24" s="360"/>
      <c r="G24" s="360"/>
      <c r="I24" s="132"/>
      <c r="J24" s="132"/>
      <c r="K24" s="132"/>
    </row>
    <row r="25" spans="1:11" ht="13.5" customHeight="1">
      <c r="A25" s="361" t="s">
        <v>173</v>
      </c>
      <c r="B25" s="361"/>
      <c r="C25" s="361"/>
      <c r="D25" s="361"/>
      <c r="E25" s="361"/>
      <c r="F25" s="361"/>
      <c r="G25" s="361"/>
    </row>
    <row r="26" spans="1:11" ht="13.5" customHeight="1">
      <c r="A26" s="362" t="s">
        <v>174</v>
      </c>
      <c r="B26" s="362"/>
      <c r="C26" s="362"/>
      <c r="D26" s="362"/>
      <c r="E26" s="362"/>
      <c r="F26" s="362"/>
      <c r="G26" s="362"/>
      <c r="I26" s="132"/>
      <c r="J26" s="132"/>
      <c r="K26" s="132"/>
    </row>
    <row r="27" spans="1:11" ht="24" customHeight="1">
      <c r="A27" s="360" t="s">
        <v>235</v>
      </c>
      <c r="B27" s="360"/>
      <c r="C27" s="360"/>
      <c r="D27" s="360"/>
      <c r="E27" s="360"/>
      <c r="F27" s="360"/>
      <c r="G27" s="360"/>
      <c r="I27" s="132"/>
      <c r="J27" s="132"/>
      <c r="K27" s="132"/>
    </row>
    <row r="28" spans="1:11" ht="13.5" customHeight="1">
      <c r="A28" s="361" t="s">
        <v>236</v>
      </c>
      <c r="B28" s="361"/>
      <c r="C28" s="361"/>
      <c r="D28" s="361"/>
      <c r="E28" s="361"/>
      <c r="F28" s="361"/>
      <c r="G28" s="361"/>
    </row>
    <row r="29" spans="1:11" ht="13.5" customHeight="1">
      <c r="A29" s="361" t="s">
        <v>237</v>
      </c>
      <c r="B29" s="361"/>
      <c r="C29" s="361"/>
      <c r="D29" s="361"/>
      <c r="E29" s="361"/>
      <c r="F29" s="361"/>
      <c r="G29" s="361"/>
    </row>
    <row r="30" spans="1:11" ht="24" customHeight="1">
      <c r="A30" s="360" t="s">
        <v>498</v>
      </c>
      <c r="B30" s="360"/>
      <c r="C30" s="360"/>
      <c r="D30" s="360"/>
      <c r="E30" s="360"/>
      <c r="F30" s="360"/>
      <c r="G30" s="360"/>
      <c r="I30" s="132"/>
      <c r="J30" s="132"/>
      <c r="K30" s="132"/>
    </row>
    <row r="31" spans="1:11" ht="13.5" customHeight="1">
      <c r="A31" s="361" t="s">
        <v>496</v>
      </c>
      <c r="B31" s="361"/>
      <c r="C31" s="361"/>
      <c r="D31" s="361"/>
      <c r="E31" s="361"/>
      <c r="F31" s="361"/>
      <c r="G31" s="361"/>
    </row>
    <row r="32" spans="1:11" ht="13.5" customHeight="1">
      <c r="A32" s="363" t="s">
        <v>497</v>
      </c>
      <c r="B32" s="363"/>
      <c r="C32" s="363"/>
      <c r="D32" s="363"/>
      <c r="E32" s="363"/>
      <c r="F32" s="363"/>
      <c r="G32" s="363"/>
      <c r="I32" s="132"/>
      <c r="J32" s="132"/>
      <c r="K32" s="132"/>
    </row>
    <row r="33" spans="1:12" ht="24" customHeight="1">
      <c r="A33" s="360" t="s">
        <v>219</v>
      </c>
      <c r="B33" s="360"/>
      <c r="C33" s="360"/>
      <c r="D33" s="360"/>
      <c r="E33" s="360"/>
      <c r="F33" s="360"/>
      <c r="G33" s="360"/>
      <c r="H33" s="132"/>
      <c r="I33" s="132"/>
      <c r="J33" s="132"/>
      <c r="K33" s="132"/>
    </row>
    <row r="34" spans="1:12" ht="13.5" customHeight="1">
      <c r="A34" s="361" t="s">
        <v>223</v>
      </c>
      <c r="B34" s="361"/>
      <c r="C34" s="361"/>
      <c r="D34" s="361"/>
      <c r="E34" s="361"/>
      <c r="F34" s="361"/>
      <c r="G34" s="361"/>
      <c r="H34" s="132"/>
      <c r="I34" s="132"/>
      <c r="J34" s="132"/>
      <c r="K34" s="132"/>
    </row>
    <row r="35" spans="1:12" ht="13.5" customHeight="1">
      <c r="A35" s="362" t="s">
        <v>217</v>
      </c>
      <c r="B35" s="362"/>
      <c r="C35" s="362"/>
      <c r="D35" s="362"/>
      <c r="E35" s="362"/>
      <c r="F35" s="362"/>
      <c r="G35" s="362"/>
      <c r="H35" s="132"/>
      <c r="I35" s="132"/>
      <c r="J35" s="132"/>
      <c r="K35" s="132"/>
    </row>
    <row r="36" spans="1:12" ht="13.5" customHeight="1">
      <c r="A36" s="362" t="s">
        <v>218</v>
      </c>
      <c r="B36" s="362"/>
      <c r="C36" s="362"/>
      <c r="D36" s="362"/>
      <c r="E36" s="362"/>
      <c r="F36" s="362"/>
      <c r="G36" s="362"/>
      <c r="H36" s="132"/>
      <c r="I36" s="132"/>
      <c r="J36" s="132"/>
      <c r="K36" s="132"/>
    </row>
    <row r="37" spans="1:12" ht="24" customHeight="1">
      <c r="A37" s="360" t="s">
        <v>220</v>
      </c>
      <c r="B37" s="360"/>
      <c r="C37" s="360"/>
      <c r="D37" s="360"/>
      <c r="E37" s="360"/>
      <c r="F37" s="360"/>
      <c r="G37" s="360"/>
      <c r="H37" s="132"/>
      <c r="I37" s="132"/>
      <c r="J37" s="132"/>
      <c r="K37" s="132"/>
    </row>
    <row r="38" spans="1:12" ht="13.5" customHeight="1">
      <c r="A38" s="361" t="s">
        <v>222</v>
      </c>
      <c r="B38" s="361"/>
      <c r="C38" s="361"/>
      <c r="D38" s="361"/>
      <c r="E38" s="361"/>
      <c r="F38" s="361"/>
      <c r="G38" s="361"/>
      <c r="H38" s="132"/>
      <c r="I38" s="132"/>
      <c r="J38" s="132"/>
      <c r="K38" s="132"/>
    </row>
    <row r="39" spans="1:12" ht="13.5" customHeight="1">
      <c r="A39" s="362" t="s">
        <v>221</v>
      </c>
      <c r="B39" s="362"/>
      <c r="C39" s="362"/>
      <c r="D39" s="362"/>
      <c r="E39" s="362"/>
      <c r="F39" s="362"/>
      <c r="G39" s="362"/>
      <c r="I39" s="132"/>
      <c r="J39" s="132"/>
      <c r="K39" s="132"/>
    </row>
    <row r="40" spans="1:12">
      <c r="A40" s="145"/>
      <c r="B40" s="145"/>
      <c r="C40" s="145"/>
      <c r="D40" s="145"/>
      <c r="E40" s="145"/>
      <c r="F40" s="145"/>
      <c r="G40" s="145"/>
    </row>
    <row r="41" spans="1:12">
      <c r="A41" s="416" t="s">
        <v>48</v>
      </c>
      <c r="B41" s="417"/>
      <c r="C41" s="417"/>
      <c r="D41" s="417"/>
      <c r="E41" s="417"/>
      <c r="F41" s="417"/>
      <c r="G41" s="418"/>
    </row>
    <row r="42" spans="1:12" ht="13.5" customHeight="1">
      <c r="A42" s="403" t="s">
        <v>285</v>
      </c>
      <c r="B42" s="404"/>
      <c r="C42" s="404"/>
      <c r="D42" s="404"/>
      <c r="E42" s="404"/>
      <c r="F42" s="404"/>
      <c r="G42" s="405"/>
    </row>
    <row r="43" spans="1:12" ht="18" customHeight="1">
      <c r="A43" s="419" t="s">
        <v>284</v>
      </c>
      <c r="B43" s="414"/>
      <c r="C43" s="414"/>
      <c r="D43" s="414"/>
      <c r="E43" s="414"/>
      <c r="F43" s="414"/>
      <c r="G43" s="415"/>
    </row>
    <row r="44" spans="1:12" ht="8.25" customHeight="1">
      <c r="A44" s="372"/>
      <c r="B44" s="365"/>
      <c r="C44" s="365"/>
      <c r="D44" s="365"/>
      <c r="E44" s="365"/>
      <c r="F44" s="365"/>
      <c r="G44" s="366"/>
    </row>
    <row r="45" spans="1:12" s="94" customFormat="1">
      <c r="A45" s="372" t="s">
        <v>286</v>
      </c>
      <c r="B45" s="365"/>
      <c r="C45" s="365"/>
      <c r="D45" s="365"/>
      <c r="E45" s="365"/>
      <c r="F45" s="365"/>
      <c r="G45" s="366"/>
      <c r="L45" s="132"/>
    </row>
    <row r="46" spans="1:12" s="94" customFormat="1" ht="6.75" customHeight="1">
      <c r="A46" s="372"/>
      <c r="B46" s="365"/>
      <c r="C46" s="365"/>
      <c r="D46" s="365"/>
      <c r="E46" s="365"/>
      <c r="F46" s="365"/>
      <c r="G46" s="366"/>
      <c r="L46" s="132"/>
    </row>
    <row r="47" spans="1:12" s="222" customFormat="1" ht="18" customHeight="1">
      <c r="A47" s="410" t="s">
        <v>287</v>
      </c>
      <c r="B47" s="411"/>
      <c r="C47" s="411"/>
      <c r="D47" s="411"/>
      <c r="E47" s="411"/>
      <c r="F47" s="411"/>
      <c r="G47" s="412"/>
      <c r="L47" s="223"/>
    </row>
    <row r="48" spans="1:12" s="94" customFormat="1" ht="18.75" customHeight="1">
      <c r="A48" s="413" t="s">
        <v>288</v>
      </c>
      <c r="B48" s="414"/>
      <c r="C48" s="414"/>
      <c r="D48" s="414"/>
      <c r="E48" s="414"/>
      <c r="F48" s="414"/>
      <c r="G48" s="415"/>
      <c r="L48" s="132"/>
    </row>
    <row r="49" spans="1:12" s="94" customFormat="1">
      <c r="A49" s="372" t="s">
        <v>289</v>
      </c>
      <c r="B49" s="365"/>
      <c r="C49" s="365"/>
      <c r="D49" s="365"/>
      <c r="E49" s="365"/>
      <c r="F49" s="365"/>
      <c r="G49" s="366"/>
      <c r="L49" s="132"/>
    </row>
    <row r="50" spans="1:12" ht="9" customHeight="1">
      <c r="A50" s="406"/>
      <c r="B50" s="368"/>
      <c r="C50" s="368"/>
      <c r="D50" s="368"/>
      <c r="E50" s="368"/>
      <c r="F50" s="368"/>
      <c r="G50" s="369"/>
    </row>
    <row r="51" spans="1:12" ht="21">
      <c r="A51" s="83"/>
      <c r="B51" s="143"/>
      <c r="C51" s="13" t="s">
        <v>39</v>
      </c>
      <c r="D51" s="12" t="s">
        <v>40</v>
      </c>
      <c r="E51" s="407" t="str">
        <f>$B$2</f>
        <v>近接基礎攻撃</v>
      </c>
      <c r="F51" s="408"/>
      <c r="G51" s="409"/>
    </row>
  </sheetData>
  <mergeCells count="49">
    <mergeCell ref="A50:G50"/>
    <mergeCell ref="E51:G51"/>
    <mergeCell ref="A33:G33"/>
    <mergeCell ref="A34:G34"/>
    <mergeCell ref="A35:G35"/>
    <mergeCell ref="A37:G37"/>
    <mergeCell ref="A38:G38"/>
    <mergeCell ref="A39:G39"/>
    <mergeCell ref="A36:G36"/>
    <mergeCell ref="A45:G45"/>
    <mergeCell ref="A46:G46"/>
    <mergeCell ref="A47:G47"/>
    <mergeCell ref="A48:G48"/>
    <mergeCell ref="A41:G41"/>
    <mergeCell ref="A44:G44"/>
    <mergeCell ref="A43:G43"/>
    <mergeCell ref="A49:G49"/>
    <mergeCell ref="A27:G27"/>
    <mergeCell ref="A28:G28"/>
    <mergeCell ref="A29:G29"/>
    <mergeCell ref="A42:G42"/>
    <mergeCell ref="B6:D6"/>
    <mergeCell ref="B7:D7"/>
    <mergeCell ref="B8:G8"/>
    <mergeCell ref="B9:G9"/>
    <mergeCell ref="B10:G10"/>
    <mergeCell ref="B1:C1"/>
    <mergeCell ref="F1:G1"/>
    <mergeCell ref="B2:G2"/>
    <mergeCell ref="B4:G4"/>
    <mergeCell ref="B5:G5"/>
    <mergeCell ref="A32:G32"/>
    <mergeCell ref="B14:G14"/>
    <mergeCell ref="B15:G15"/>
    <mergeCell ref="A22:A23"/>
    <mergeCell ref="J10:K10"/>
    <mergeCell ref="B11:G11"/>
    <mergeCell ref="B12:G12"/>
    <mergeCell ref="J12:K12"/>
    <mergeCell ref="B13:G13"/>
    <mergeCell ref="A17:C18"/>
    <mergeCell ref="E17:G17"/>
    <mergeCell ref="A20:A21"/>
    <mergeCell ref="B19:C19"/>
    <mergeCell ref="A24:G24"/>
    <mergeCell ref="A25:G25"/>
    <mergeCell ref="A26:G26"/>
    <mergeCell ref="A30:G30"/>
    <mergeCell ref="A31:G31"/>
  </mergeCells>
  <phoneticPr fontId="40"/>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基本!$A$25:$A$31</xm:f>
          </x14:formula1>
          <xm:sqref>I6</xm:sqref>
        </x14:dataValidation>
        <x14:dataValidation type="list" allowBlank="1" showInputMessage="1" showErrorMessage="1">
          <x14:formula1>
            <xm:f>基本!$B$25:$B$29</xm:f>
          </x14:formula1>
          <xm:sqref>I7</xm:sqref>
        </x14:dataValidation>
        <x14:dataValidation type="list" allowBlank="1" showInputMessage="1" showErrorMessage="1">
          <x14:formula1>
            <xm:f>基本!$A$14:$A$18</xm:f>
          </x14:formula1>
          <xm:sqref>K9</xm:sqref>
        </x14:dataValidation>
        <x14:dataValidation type="list" allowBlank="1" showInputMessage="1" showErrorMessage="1">
          <x14:formula1>
            <xm:f>基本!$A$5:$A$10</xm:f>
          </x14:formula1>
          <xm:sqref>I9 I11</xm:sqref>
        </x14:dataValidation>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49"/>
  <sheetViews>
    <sheetView workbookViewId="0"/>
  </sheetViews>
  <sheetFormatPr defaultRowHeight="13.5"/>
  <cols>
    <col min="1" max="1" width="7.875" style="132" customWidth="1"/>
    <col min="2" max="2" width="8.5" style="132" customWidth="1"/>
    <col min="3" max="3" width="6.625" style="132" customWidth="1"/>
    <col min="4" max="4" width="15.75" style="132" customWidth="1"/>
    <col min="5" max="6" width="15.75" style="94" customWidth="1"/>
    <col min="7" max="7" width="18.25" style="94" customWidth="1"/>
    <col min="8" max="8" width="17.375" style="94" customWidth="1"/>
    <col min="9" max="9" width="14.625" style="94" customWidth="1"/>
    <col min="10" max="10" width="8.375" style="94" customWidth="1"/>
    <col min="11" max="11" width="7.5" style="94" customWidth="1"/>
    <col min="12" max="12" width="7.875" style="132" customWidth="1"/>
    <col min="13" max="13" width="9.25" style="132" customWidth="1"/>
    <col min="14" max="14" width="12.375" style="132" customWidth="1"/>
    <col min="15" max="16384" width="9" style="132"/>
  </cols>
  <sheetData>
    <row r="1" spans="1:13" ht="21">
      <c r="A1" s="11"/>
      <c r="B1" s="392"/>
      <c r="C1" s="393"/>
      <c r="D1" s="13" t="s">
        <v>39</v>
      </c>
      <c r="E1" s="12" t="s">
        <v>40</v>
      </c>
      <c r="F1" s="394"/>
      <c r="G1" s="395"/>
      <c r="H1" s="100" t="s">
        <v>54</v>
      </c>
    </row>
    <row r="2" spans="1:13" ht="24.75" customHeight="1">
      <c r="A2" s="13" t="s">
        <v>0</v>
      </c>
      <c r="B2" s="396" t="s">
        <v>225</v>
      </c>
      <c r="C2" s="396"/>
      <c r="D2" s="396"/>
      <c r="E2" s="396"/>
      <c r="F2" s="396"/>
      <c r="G2" s="396"/>
      <c r="H2" s="100" t="s">
        <v>55</v>
      </c>
    </row>
    <row r="3" spans="1:13" ht="19.5" customHeight="1">
      <c r="A3" s="99" t="s">
        <v>47</v>
      </c>
      <c r="B3" s="94"/>
      <c r="C3" s="94"/>
      <c r="D3" s="94"/>
      <c r="I3" s="100"/>
    </row>
    <row r="4" spans="1:13">
      <c r="A4" s="101" t="s">
        <v>45</v>
      </c>
      <c r="B4" s="397"/>
      <c r="C4" s="398"/>
      <c r="D4" s="398"/>
      <c r="E4" s="398"/>
      <c r="F4" s="398"/>
      <c r="G4" s="399"/>
    </row>
    <row r="5" spans="1:13">
      <c r="A5" s="102" t="s">
        <v>38</v>
      </c>
      <c r="B5" s="397"/>
      <c r="C5" s="398"/>
      <c r="D5" s="398"/>
      <c r="E5" s="398"/>
      <c r="F5" s="398"/>
      <c r="G5" s="399"/>
    </row>
    <row r="6" spans="1:13">
      <c r="A6" s="102" t="s">
        <v>6</v>
      </c>
      <c r="B6" s="397" t="s">
        <v>4</v>
      </c>
      <c r="C6" s="398"/>
      <c r="D6" s="399"/>
      <c r="E6" s="149" t="s">
        <v>42</v>
      </c>
      <c r="F6" s="148" t="str">
        <f>$I$6</f>
        <v>遠隔</v>
      </c>
      <c r="G6" s="148" t="str">
        <f>$J$6</f>
        <v>武器</v>
      </c>
      <c r="H6" s="140" t="s">
        <v>42</v>
      </c>
      <c r="I6" s="142" t="s">
        <v>72</v>
      </c>
      <c r="J6" s="142" t="s">
        <v>178</v>
      </c>
    </row>
    <row r="7" spans="1:13">
      <c r="A7" s="103" t="s">
        <v>5</v>
      </c>
      <c r="B7" s="397" t="s">
        <v>94</v>
      </c>
      <c r="C7" s="398"/>
      <c r="D7" s="399"/>
      <c r="E7" s="149" t="s">
        <v>67</v>
      </c>
      <c r="F7" s="148" t="str">
        <f>IF($I$7 = 0,"", $I$7)</f>
        <v/>
      </c>
      <c r="G7" s="148" t="str">
        <f>IF($J$7 = 0,"", $J$7)</f>
        <v/>
      </c>
      <c r="H7" s="140" t="s">
        <v>67</v>
      </c>
      <c r="I7" s="142"/>
      <c r="J7" s="142"/>
    </row>
    <row r="8" spans="1:13">
      <c r="A8" s="103" t="s">
        <v>7</v>
      </c>
      <c r="B8" s="397" t="s">
        <v>263</v>
      </c>
      <c r="C8" s="398"/>
      <c r="D8" s="398"/>
      <c r="E8" s="398"/>
      <c r="F8" s="398"/>
      <c r="G8" s="399"/>
      <c r="H8" s="140" t="s">
        <v>87</v>
      </c>
      <c r="I8" s="142" t="s">
        <v>238</v>
      </c>
      <c r="J8" s="100" t="s">
        <v>63</v>
      </c>
    </row>
    <row r="9" spans="1:13">
      <c r="A9" s="105" t="s">
        <v>8</v>
      </c>
      <c r="B9" s="400" t="s">
        <v>188</v>
      </c>
      <c r="C9" s="401"/>
      <c r="D9" s="401"/>
      <c r="E9" s="401"/>
      <c r="F9" s="401"/>
      <c r="G9" s="402"/>
      <c r="H9" s="140" t="s">
        <v>50</v>
      </c>
      <c r="I9" s="142" t="s">
        <v>13</v>
      </c>
      <c r="J9" s="141">
        <f>IF($I$9 = "筋力",基本!$C$5,IF($I$9 = "耐久力",基本!$C$6,IF($I$9 = "敏捷力",基本!$C$7,IF($I$9 = "知力",基本!$C$8,IF($I$9 = "判断力",基本!$C$9,IF($I$9 = "魅力",基本!$C$10,""))))))</f>
        <v>6</v>
      </c>
      <c r="K9" s="142" t="s">
        <v>224</v>
      </c>
    </row>
    <row r="10" spans="1:13">
      <c r="A10" s="104"/>
      <c r="B10" s="372" t="s">
        <v>198</v>
      </c>
      <c r="C10" s="365"/>
      <c r="D10" s="365"/>
      <c r="E10" s="365"/>
      <c r="F10" s="365"/>
      <c r="G10" s="366"/>
      <c r="H10" s="140" t="s">
        <v>59</v>
      </c>
      <c r="I10" s="142">
        <v>0</v>
      </c>
      <c r="J10" s="296" t="s">
        <v>52</v>
      </c>
      <c r="K10" s="297"/>
      <c r="L10" s="141">
        <f>IF($I$8=基本!$F$4,基本!$O$7,IF($I$8=基本!$F$13,基本!$O$16,IF($I$8=基本!$F$22,基本!$O$25,IF($I$8=基本!$F$31,基本!$O$34,IF($I$8=基本!$F$40,基本!$O$43,0)))))</f>
        <v>18</v>
      </c>
    </row>
    <row r="11" spans="1:13">
      <c r="A11" s="104"/>
      <c r="B11" s="372"/>
      <c r="C11" s="365"/>
      <c r="D11" s="365"/>
      <c r="E11" s="365"/>
      <c r="F11" s="365"/>
      <c r="G11" s="366"/>
      <c r="H11" s="108" t="s">
        <v>51</v>
      </c>
      <c r="I11" s="142" t="s">
        <v>13</v>
      </c>
      <c r="J11" s="110">
        <f>IF($I$9 = "筋力",基本!$C$5,IF($I$11 = "耐久力",基本!$C$6,IF($I$11 = "敏捷力",基本!$C$7,IF($I$11 = "知力",基本!$C$8,IF($I$11 = "判断力",基本!$C$9,IF($I$11 = "魅力",基本!$C$10,""))))))</f>
        <v>6</v>
      </c>
      <c r="L11" s="94"/>
    </row>
    <row r="12" spans="1:13" ht="18.75">
      <c r="A12" s="104"/>
      <c r="B12" s="420" t="s">
        <v>298</v>
      </c>
      <c r="C12" s="421"/>
      <c r="D12" s="421"/>
      <c r="E12" s="421"/>
      <c r="F12" s="421"/>
      <c r="G12" s="422"/>
      <c r="H12" s="140" t="s">
        <v>60</v>
      </c>
      <c r="I12" s="142">
        <v>0</v>
      </c>
      <c r="J12" s="296" t="s">
        <v>53</v>
      </c>
      <c r="K12" s="297"/>
      <c r="L12" s="141">
        <f>IF($I$8=基本!$F$4,基本!$O$9,IF($I$8=基本!$F$13,基本!$O$18,IF($I$8=基本!$F$22,基本!$O$27,IF($I$8=基本!$F$31,基本!$O$36,IF($I$8=基本!$F$40,基本!$O$45,0)))))</f>
        <v>6</v>
      </c>
    </row>
    <row r="13" spans="1:13">
      <c r="A13" s="104"/>
      <c r="B13" s="364"/>
      <c r="C13" s="365"/>
      <c r="D13" s="365"/>
      <c r="E13" s="365"/>
      <c r="F13" s="365"/>
      <c r="G13" s="366"/>
      <c r="H13" s="109" t="s">
        <v>88</v>
      </c>
      <c r="I13" s="142">
        <v>1</v>
      </c>
      <c r="J13" s="140" t="s">
        <v>43</v>
      </c>
      <c r="K13" s="142">
        <v>4</v>
      </c>
      <c r="L13" s="142">
        <v>6</v>
      </c>
      <c r="M13" s="147" t="s">
        <v>166</v>
      </c>
    </row>
    <row r="14" spans="1:13">
      <c r="A14" s="104"/>
      <c r="B14" s="364"/>
      <c r="C14" s="365"/>
      <c r="D14" s="365"/>
      <c r="E14" s="365"/>
      <c r="F14" s="365"/>
      <c r="G14" s="366"/>
      <c r="H14" s="140" t="s">
        <v>49</v>
      </c>
      <c r="I14" s="142">
        <v>4</v>
      </c>
      <c r="J14" s="140" t="s">
        <v>43</v>
      </c>
      <c r="K14" s="142">
        <v>12</v>
      </c>
    </row>
    <row r="15" spans="1:13">
      <c r="A15" s="106"/>
      <c r="B15" s="367"/>
      <c r="C15" s="368"/>
      <c r="D15" s="368"/>
      <c r="E15" s="368"/>
      <c r="F15" s="368"/>
      <c r="G15" s="369"/>
      <c r="H15" s="140" t="s">
        <v>61</v>
      </c>
      <c r="I15" s="142"/>
    </row>
    <row r="16" spans="1:13" ht="14.25" thickBot="1">
      <c r="A16" s="14" t="s">
        <v>46</v>
      </c>
      <c r="E16" s="3"/>
      <c r="H16" s="140" t="s">
        <v>130</v>
      </c>
      <c r="I16" s="119">
        <f>基本!$B$21</f>
        <v>3</v>
      </c>
      <c r="J16" s="140" t="s">
        <v>43</v>
      </c>
      <c r="K16" s="119">
        <f>基本!$D$21</f>
        <v>8</v>
      </c>
    </row>
    <row r="17" spans="1:11" ht="13.5" customHeight="1">
      <c r="A17" s="379" t="str">
        <f>$B$2</f>
        <v>遠隔基礎攻撃</v>
      </c>
      <c r="B17" s="380"/>
      <c r="C17" s="381"/>
      <c r="D17" s="182" t="s">
        <v>244</v>
      </c>
      <c r="E17" s="385" t="s">
        <v>243</v>
      </c>
      <c r="F17" s="387"/>
      <c r="G17"/>
      <c r="H17" s="138" t="s">
        <v>167</v>
      </c>
      <c r="I17" s="119">
        <f>基本!$B$23</f>
        <v>1</v>
      </c>
      <c r="J17" s="139" t="s">
        <v>43</v>
      </c>
      <c r="K17" s="119">
        <f>基本!$D$23</f>
        <v>10</v>
      </c>
    </row>
    <row r="18" spans="1:11" ht="18.75" customHeight="1" thickBot="1">
      <c r="A18" s="382"/>
      <c r="B18" s="383"/>
      <c r="C18" s="384"/>
      <c r="D18" s="163" t="s">
        <v>240</v>
      </c>
      <c r="E18" s="164" t="s">
        <v>239</v>
      </c>
      <c r="F18" s="183" t="s">
        <v>241</v>
      </c>
      <c r="G18"/>
      <c r="H18" s="159"/>
      <c r="I18" s="160"/>
      <c r="J18" s="161"/>
      <c r="K18" s="160"/>
    </row>
    <row r="19" spans="1:11" ht="23.25" customHeight="1" thickBot="1">
      <c r="A19" s="176" t="s">
        <v>41</v>
      </c>
      <c r="B19" s="390" t="str">
        <f>$K$9</f>
        <v>AC/反応</v>
      </c>
      <c r="C19" s="391"/>
      <c r="D19" s="177" t="str">
        <f>$J$9+$L$10+$I$10 &amp; "+1d20"</f>
        <v>24+1d20</v>
      </c>
      <c r="E19" s="178" t="str">
        <f>$J$9+$L$10+2+$I$10 &amp; "+1d20"</f>
        <v>26+1d20</v>
      </c>
      <c r="F19" s="179" t="str">
        <f>$J$9+$L$10+2+$I$10 &amp; "+1d20"</f>
        <v>26+1d20</v>
      </c>
      <c r="G19" s="132"/>
      <c r="H19" s="132"/>
      <c r="I19" s="132"/>
      <c r="J19" s="132"/>
      <c r="K19" s="132"/>
    </row>
    <row r="20" spans="1:11" ht="23.25" customHeight="1">
      <c r="A20" s="388" t="s">
        <v>1</v>
      </c>
      <c r="B20" s="171" t="s">
        <v>3</v>
      </c>
      <c r="C20" s="172" t="str">
        <f>IF($I$15 = 0,"", $I$15)</f>
        <v/>
      </c>
      <c r="D20" s="173" t="str">
        <f>$J$11+$L$12+$I$12 &amp; "+" &amp; $I$13 &amp; "d" &amp; $K$13</f>
        <v>12+1d4</v>
      </c>
      <c r="E20" s="174" t="str">
        <f>$J$11+$L$12+$I$12+2 &amp; "+" &amp; $I$13 &amp; "d" &amp; $K$13</f>
        <v>14+1d4</v>
      </c>
      <c r="F20" s="175" t="str">
        <f>$J$11+$L$12+$I$12+2 &amp; "+" &amp; $I$13 &amp; "d" &amp; $K$13 &amp; "+" &amp; $I$16 &amp; "d" &amp; $K$16</f>
        <v>14+1d4+3d8</v>
      </c>
      <c r="G20" s="132"/>
      <c r="H20" s="132"/>
      <c r="I20" s="132"/>
      <c r="J20" s="132"/>
      <c r="K20" s="132"/>
    </row>
    <row r="21" spans="1:11" ht="23.25" customHeight="1" thickBot="1">
      <c r="A21" s="389"/>
      <c r="B21" s="92" t="s">
        <v>2</v>
      </c>
      <c r="C21" s="87" t="str">
        <f>IF($I$15 = 0,"", $I$15)</f>
        <v/>
      </c>
      <c r="D21" s="88" t="str">
        <f>$J$11+$L$12+$I$12+($I$13*$K$13) &amp; IF($I$14 = 0,"","+" &amp; $I$14 &amp; "d" &amp; $K$14) &amp; IF($I$17 = 0,"","+" &amp; $I$17 &amp; "d" &amp; $K$17) &amp;"★"</f>
        <v>16+4d12+1d10★</v>
      </c>
      <c r="E21" s="151" t="str">
        <f>$J$11+$L$12+$I$12+2+($I$13*$K$13)&amp; IF($I$14 = 0,"","+" &amp; $I$14 &amp; "d" &amp; $K$14) &amp; IF($I$17 = 0,"","+" &amp; $I$17 &amp; "d" &amp; $K$17) &amp;"★"</f>
        <v>18+4d12+1d10★</v>
      </c>
      <c r="F21" s="89" t="str">
        <f>$J$11+$L$12+$I$12+2+($I$13*$K$13)+($I$16*$K$16) &amp; IF($I$14 = 0,"","+" &amp; $I$14 &amp; "d" &amp; $K$14) &amp; IF($I$17 = 0,"","+" &amp; $I$17 &amp; "d" &amp; $K$17) &amp;"★"</f>
        <v>42+4d12+1d10★</v>
      </c>
      <c r="J21" s="132"/>
      <c r="K21" s="132"/>
    </row>
    <row r="22" spans="1:11" ht="23.25" customHeight="1">
      <c r="A22" s="370" t="str">
        <f>汎12!$B$2</f>
        <v>メディティション・オヴ・ザ・ブレード</v>
      </c>
      <c r="B22" s="146" t="s">
        <v>3</v>
      </c>
      <c r="C22" s="86" t="str">
        <f>IF($I$15 = 0,"", $I$15)</f>
        <v/>
      </c>
      <c r="D22" s="90" t="str">
        <f>$J$11+$L$12+$I$12 &amp; "+" &amp; $I$13 &amp; "d" &amp; $L$13</f>
        <v>12+1d6</v>
      </c>
      <c r="E22" s="150" t="str">
        <f>$J$11+$L$12+$I$12 &amp;  "+" &amp; $I$13 &amp; "d" &amp; $L$13</f>
        <v>12+1d6</v>
      </c>
      <c r="F22" s="91" t="str">
        <f>$J$11+$L$12+$I$12+2 &amp; "+" &amp; $I$13 &amp; "d" &amp; $L$13 &amp; "+" &amp; $I$16 &amp; "d" &amp; $K$16</f>
        <v>14+1d6+3d8</v>
      </c>
      <c r="G22" s="132"/>
      <c r="H22" s="132"/>
      <c r="I22" s="132"/>
      <c r="J22" s="132"/>
      <c r="K22" s="132"/>
    </row>
    <row r="23" spans="1:11" ht="23.25" customHeight="1" thickBot="1">
      <c r="A23" s="371"/>
      <c r="B23" s="92" t="s">
        <v>2</v>
      </c>
      <c r="C23" s="87" t="str">
        <f>IF($I$15 = 0,"", $I$15)</f>
        <v/>
      </c>
      <c r="D23" s="88" t="str">
        <f>$J$11+$L$12+$I$12+($I$13*$L$13) &amp; IF($I$14 = 0,"","+" &amp; $I$14 &amp; "d" &amp; $K$14) &amp; IF($I$17 = 0,"","+" &amp; $I$17 &amp; "d" &amp; $K$17) &amp;"★"</f>
        <v>18+4d12+1d10★</v>
      </c>
      <c r="E23" s="151" t="str">
        <f>$J$11+$L$12+$I$12+2+($I$13*$L$13)&amp; IF($I$14 = 0,"","+" &amp; $I$14 &amp; "d" &amp; $K$14) &amp; IF($I$17 = 0,"","+" &amp; $I$17 &amp; "d" &amp; $K$17) &amp;"★"</f>
        <v>20+4d12+1d10★</v>
      </c>
      <c r="F23" s="89" t="str">
        <f>$J$11+$L$12+$I$12+2+($I$13*$L$13)+($I$16*$K$16) &amp; IF($I$14 = 0,"","+" &amp; $I$14 &amp; "d" &amp; $K$14) &amp; IF($I$17 = 0,"","+" &amp; $I$17 &amp; "d" &amp; $K$17) &amp;"★"</f>
        <v>44+4d12+1d10★</v>
      </c>
      <c r="G23" s="132"/>
      <c r="H23" s="132"/>
      <c r="I23" s="132"/>
      <c r="J23" s="132"/>
      <c r="K23" s="132"/>
    </row>
    <row r="24" spans="1:11" ht="24" customHeight="1">
      <c r="A24" s="360" t="s">
        <v>170</v>
      </c>
      <c r="B24" s="360"/>
      <c r="C24" s="360"/>
      <c r="D24" s="360"/>
      <c r="E24" s="360"/>
      <c r="F24" s="360"/>
      <c r="G24" s="360"/>
      <c r="I24" s="132"/>
      <c r="J24" s="132"/>
      <c r="K24" s="132"/>
    </row>
    <row r="25" spans="1:11" ht="13.5" customHeight="1">
      <c r="A25" s="361" t="s">
        <v>173</v>
      </c>
      <c r="B25" s="361"/>
      <c r="C25" s="361"/>
      <c r="D25" s="361"/>
      <c r="E25" s="361"/>
      <c r="F25" s="361"/>
      <c r="G25" s="361"/>
    </row>
    <row r="26" spans="1:11" ht="13.5" customHeight="1">
      <c r="A26" s="362" t="s">
        <v>174</v>
      </c>
      <c r="B26" s="362"/>
      <c r="C26" s="362"/>
      <c r="D26" s="362"/>
      <c r="E26" s="362"/>
      <c r="F26" s="362"/>
      <c r="G26" s="362"/>
      <c r="I26" s="132"/>
      <c r="J26" s="132"/>
      <c r="K26" s="132"/>
    </row>
    <row r="27" spans="1:11" ht="24" customHeight="1">
      <c r="A27" s="360" t="s">
        <v>235</v>
      </c>
      <c r="B27" s="360"/>
      <c r="C27" s="360"/>
      <c r="D27" s="360"/>
      <c r="E27" s="360"/>
      <c r="F27" s="360"/>
      <c r="G27" s="360"/>
      <c r="I27" s="132"/>
      <c r="J27" s="132"/>
      <c r="K27" s="132"/>
    </row>
    <row r="28" spans="1:11" ht="13.5" customHeight="1">
      <c r="A28" s="361" t="s">
        <v>236</v>
      </c>
      <c r="B28" s="361"/>
      <c r="C28" s="361"/>
      <c r="D28" s="361"/>
      <c r="E28" s="361"/>
      <c r="F28" s="361"/>
      <c r="G28" s="361"/>
    </row>
    <row r="29" spans="1:11" ht="13.5" customHeight="1">
      <c r="A29" s="361" t="s">
        <v>237</v>
      </c>
      <c r="B29" s="361"/>
      <c r="C29" s="361"/>
      <c r="D29" s="361"/>
      <c r="E29" s="361"/>
      <c r="F29" s="361"/>
      <c r="G29" s="361"/>
    </row>
    <row r="30" spans="1:11" ht="24" customHeight="1">
      <c r="A30" s="360" t="s">
        <v>498</v>
      </c>
      <c r="B30" s="360"/>
      <c r="C30" s="360"/>
      <c r="D30" s="360"/>
      <c r="E30" s="360"/>
      <c r="F30" s="360"/>
      <c r="G30" s="360"/>
      <c r="I30" s="132"/>
      <c r="J30" s="132"/>
      <c r="K30" s="132"/>
    </row>
    <row r="31" spans="1:11" ht="13.5" customHeight="1">
      <c r="A31" s="361" t="s">
        <v>496</v>
      </c>
      <c r="B31" s="361"/>
      <c r="C31" s="361"/>
      <c r="D31" s="361"/>
      <c r="E31" s="361"/>
      <c r="F31" s="361"/>
      <c r="G31" s="361"/>
    </row>
    <row r="32" spans="1:11" ht="13.5" customHeight="1">
      <c r="A32" s="363" t="s">
        <v>497</v>
      </c>
      <c r="B32" s="363"/>
      <c r="C32" s="363"/>
      <c r="D32" s="363"/>
      <c r="E32" s="363"/>
      <c r="F32" s="363"/>
      <c r="G32" s="363"/>
      <c r="I32" s="132"/>
      <c r="J32" s="132"/>
      <c r="K32" s="132"/>
    </row>
    <row r="33" spans="1:12" ht="24" customHeight="1">
      <c r="A33" s="360" t="s">
        <v>232</v>
      </c>
      <c r="B33" s="360"/>
      <c r="C33" s="360"/>
      <c r="D33" s="360"/>
      <c r="E33" s="360"/>
      <c r="F33" s="360"/>
      <c r="G33" s="360"/>
      <c r="I33" s="132"/>
      <c r="J33" s="132"/>
      <c r="K33" s="132"/>
    </row>
    <row r="34" spans="1:12" ht="13.5" customHeight="1">
      <c r="A34" s="361" t="s">
        <v>228</v>
      </c>
      <c r="B34" s="361"/>
      <c r="C34" s="361"/>
      <c r="D34" s="361"/>
      <c r="E34" s="361"/>
      <c r="F34" s="361"/>
      <c r="G34" s="361"/>
    </row>
    <row r="35" spans="1:12" ht="24" customHeight="1">
      <c r="A35" s="360" t="s">
        <v>220</v>
      </c>
      <c r="B35" s="360"/>
      <c r="C35" s="360"/>
      <c r="D35" s="360"/>
      <c r="E35" s="360"/>
      <c r="F35" s="360"/>
      <c r="G35" s="360"/>
      <c r="I35" s="132"/>
      <c r="J35" s="132"/>
      <c r="K35" s="132"/>
    </row>
    <row r="36" spans="1:12" ht="13.5" customHeight="1">
      <c r="A36" s="361" t="s">
        <v>222</v>
      </c>
      <c r="B36" s="361"/>
      <c r="C36" s="361"/>
      <c r="D36" s="361"/>
      <c r="E36" s="361"/>
      <c r="F36" s="361"/>
      <c r="G36" s="361"/>
    </row>
    <row r="37" spans="1:12" ht="13.5" customHeight="1">
      <c r="A37" s="362" t="s">
        <v>221</v>
      </c>
      <c r="B37" s="362"/>
      <c r="C37" s="362"/>
      <c r="D37" s="362"/>
      <c r="E37" s="362"/>
      <c r="F37" s="362"/>
      <c r="G37" s="362"/>
      <c r="I37" s="132"/>
      <c r="J37" s="132"/>
      <c r="K37" s="132"/>
    </row>
    <row r="38" spans="1:12">
      <c r="A38" s="145"/>
      <c r="B38" s="145"/>
      <c r="C38" s="145"/>
      <c r="D38" s="145"/>
      <c r="E38" s="145"/>
      <c r="F38" s="145"/>
      <c r="G38" s="145"/>
    </row>
    <row r="39" spans="1:12">
      <c r="A39" s="416" t="s">
        <v>48</v>
      </c>
      <c r="B39" s="417"/>
      <c r="C39" s="417"/>
      <c r="D39" s="417"/>
      <c r="E39" s="417"/>
      <c r="F39" s="417"/>
      <c r="G39" s="418"/>
    </row>
    <row r="40" spans="1:12" ht="13.5" customHeight="1">
      <c r="A40" s="403" t="s">
        <v>285</v>
      </c>
      <c r="B40" s="404"/>
      <c r="C40" s="404"/>
      <c r="D40" s="404"/>
      <c r="E40" s="404"/>
      <c r="F40" s="404"/>
      <c r="G40" s="405"/>
    </row>
    <row r="41" spans="1:12" ht="18" customHeight="1">
      <c r="A41" s="419" t="s">
        <v>299</v>
      </c>
      <c r="B41" s="414"/>
      <c r="C41" s="414"/>
      <c r="D41" s="414"/>
      <c r="E41" s="414"/>
      <c r="F41" s="414"/>
      <c r="G41" s="415"/>
    </row>
    <row r="42" spans="1:12" ht="8.25" customHeight="1">
      <c r="A42" s="372"/>
      <c r="B42" s="365"/>
      <c r="C42" s="365"/>
      <c r="D42" s="365"/>
      <c r="E42" s="365"/>
      <c r="F42" s="365"/>
      <c r="G42" s="366"/>
    </row>
    <row r="43" spans="1:12">
      <c r="A43" s="372" t="s">
        <v>302</v>
      </c>
      <c r="B43" s="365"/>
      <c r="C43" s="365"/>
      <c r="D43" s="365"/>
      <c r="E43" s="365"/>
      <c r="F43" s="365"/>
      <c r="G43" s="366"/>
    </row>
    <row r="44" spans="1:12" ht="18" customHeight="1">
      <c r="A44" s="419" t="s">
        <v>301</v>
      </c>
      <c r="B44" s="414"/>
      <c r="C44" s="414"/>
      <c r="D44" s="414"/>
      <c r="E44" s="414"/>
      <c r="F44" s="414"/>
      <c r="G44" s="415"/>
    </row>
    <row r="45" spans="1:12" s="94" customFormat="1" ht="18.75" customHeight="1">
      <c r="A45" s="419" t="s">
        <v>300</v>
      </c>
      <c r="B45" s="414"/>
      <c r="C45" s="414"/>
      <c r="D45" s="414"/>
      <c r="E45" s="414"/>
      <c r="F45" s="414"/>
      <c r="G45" s="415"/>
      <c r="L45" s="132"/>
    </row>
    <row r="46" spans="1:12" s="94" customFormat="1">
      <c r="A46" s="372" t="s">
        <v>303</v>
      </c>
      <c r="B46" s="365"/>
      <c r="C46" s="365"/>
      <c r="D46" s="365"/>
      <c r="E46" s="365"/>
      <c r="F46" s="365"/>
      <c r="G46" s="366"/>
      <c r="L46" s="132"/>
    </row>
    <row r="47" spans="1:12" s="94" customFormat="1">
      <c r="A47" s="372"/>
      <c r="B47" s="365"/>
      <c r="C47" s="365"/>
      <c r="D47" s="365"/>
      <c r="E47" s="365"/>
      <c r="F47" s="365"/>
      <c r="G47" s="366"/>
      <c r="L47" s="132"/>
    </row>
    <row r="48" spans="1:12" s="94" customFormat="1">
      <c r="A48" s="406"/>
      <c r="B48" s="368"/>
      <c r="C48" s="368"/>
      <c r="D48" s="368"/>
      <c r="E48" s="368"/>
      <c r="F48" s="368"/>
      <c r="G48" s="369"/>
      <c r="L48" s="132"/>
    </row>
    <row r="49" spans="1:12" s="94" customFormat="1" ht="21">
      <c r="A49" s="83"/>
      <c r="B49" s="143"/>
      <c r="C49" s="84" t="s">
        <v>39</v>
      </c>
      <c r="D49" s="12" t="s">
        <v>40</v>
      </c>
      <c r="E49" s="407" t="str">
        <f>$B$2</f>
        <v>遠隔基礎攻撃</v>
      </c>
      <c r="F49" s="408"/>
      <c r="G49" s="409"/>
      <c r="L49" s="132"/>
    </row>
  </sheetData>
  <mergeCells count="47">
    <mergeCell ref="A48:G48"/>
    <mergeCell ref="A44:G44"/>
    <mergeCell ref="E49:G49"/>
    <mergeCell ref="A47:G47"/>
    <mergeCell ref="A35:G35"/>
    <mergeCell ref="A36:G36"/>
    <mergeCell ref="A37:G37"/>
    <mergeCell ref="A39:G39"/>
    <mergeCell ref="A40:G40"/>
    <mergeCell ref="A41:G41"/>
    <mergeCell ref="A45:G45"/>
    <mergeCell ref="A46:G46"/>
    <mergeCell ref="A42:G42"/>
    <mergeCell ref="A43:G43"/>
    <mergeCell ref="J12:K12"/>
    <mergeCell ref="B13:G13"/>
    <mergeCell ref="B14:G14"/>
    <mergeCell ref="B15:G15"/>
    <mergeCell ref="J10:K10"/>
    <mergeCell ref="B11:G11"/>
    <mergeCell ref="B12:G12"/>
    <mergeCell ref="B1:C1"/>
    <mergeCell ref="F1:G1"/>
    <mergeCell ref="B2:G2"/>
    <mergeCell ref="B4:G4"/>
    <mergeCell ref="B5:G5"/>
    <mergeCell ref="B6:D6"/>
    <mergeCell ref="B7:D7"/>
    <mergeCell ref="B8:G8"/>
    <mergeCell ref="B9:G9"/>
    <mergeCell ref="B10:G10"/>
    <mergeCell ref="A17:C18"/>
    <mergeCell ref="E17:F17"/>
    <mergeCell ref="A34:G34"/>
    <mergeCell ref="A22:A23"/>
    <mergeCell ref="A24:G24"/>
    <mergeCell ref="A25:G25"/>
    <mergeCell ref="A26:G26"/>
    <mergeCell ref="A27:G27"/>
    <mergeCell ref="A28:G28"/>
    <mergeCell ref="A29:G29"/>
    <mergeCell ref="A33:G33"/>
    <mergeCell ref="A30:G30"/>
    <mergeCell ref="A31:G31"/>
    <mergeCell ref="A32:G32"/>
    <mergeCell ref="A20:A21"/>
    <mergeCell ref="B19:C1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基本!$C$25:$C$35</xm:f>
          </x14:formula1>
          <xm:sqref>I15</xm:sqref>
        </x14:dataValidation>
        <x14:dataValidation type="list" allowBlank="1" showInputMessage="1" showErrorMessage="1">
          <x14:formula1>
            <xm:f>基本!$D$25:$D$29</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基本!$A$14:$A$18</xm:f>
          </x14:formula1>
          <xm:sqref>K9</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0"/>
  <sheetViews>
    <sheetView workbookViewId="0"/>
  </sheetViews>
  <sheetFormatPr defaultRowHeight="13.5"/>
  <cols>
    <col min="1" max="1" width="7.875" style="132" customWidth="1"/>
    <col min="2" max="2" width="8.5" style="132" customWidth="1"/>
    <col min="3" max="3" width="6.625" style="132" customWidth="1"/>
    <col min="4" max="4" width="15.75" style="132" customWidth="1"/>
    <col min="5" max="6" width="15.75" style="94" customWidth="1"/>
    <col min="7" max="7" width="18.25" style="94" customWidth="1"/>
    <col min="8" max="8" width="17.375" style="94" customWidth="1"/>
    <col min="9" max="9" width="14.625" style="94" customWidth="1"/>
    <col min="10" max="10" width="8.375" style="94" customWidth="1"/>
    <col min="11" max="11" width="7.5" style="94" customWidth="1"/>
    <col min="12" max="12" width="7.875" style="132" customWidth="1"/>
    <col min="13" max="13" width="9.25" style="132" customWidth="1"/>
    <col min="14" max="14" width="12.375" style="132" customWidth="1"/>
    <col min="15" max="16384" width="9" style="132"/>
  </cols>
  <sheetData>
    <row r="1" spans="1:13" ht="21">
      <c r="A1" s="11" t="s">
        <v>31</v>
      </c>
      <c r="B1" s="392">
        <v>1</v>
      </c>
      <c r="C1" s="393"/>
      <c r="D1" s="13" t="s">
        <v>39</v>
      </c>
      <c r="E1" s="12" t="s">
        <v>40</v>
      </c>
      <c r="F1" s="394"/>
      <c r="G1" s="395"/>
      <c r="H1" s="100" t="s">
        <v>54</v>
      </c>
    </row>
    <row r="2" spans="1:13" ht="24.75" customHeight="1">
      <c r="A2" s="13" t="s">
        <v>0</v>
      </c>
      <c r="B2" s="396" t="s">
        <v>431</v>
      </c>
      <c r="C2" s="396"/>
      <c r="D2" s="396"/>
      <c r="E2" s="396"/>
      <c r="F2" s="396"/>
      <c r="G2" s="396"/>
      <c r="H2" s="100" t="s">
        <v>55</v>
      </c>
    </row>
    <row r="3" spans="1:13" ht="19.5" customHeight="1">
      <c r="A3" s="99" t="s">
        <v>47</v>
      </c>
      <c r="B3" s="94"/>
      <c r="C3" s="94"/>
      <c r="D3" s="94"/>
      <c r="I3" s="100"/>
    </row>
    <row r="4" spans="1:13">
      <c r="A4" s="101" t="s">
        <v>45</v>
      </c>
      <c r="B4" s="397" t="s">
        <v>203</v>
      </c>
      <c r="C4" s="398"/>
      <c r="D4" s="398"/>
      <c r="E4" s="398"/>
      <c r="F4" s="398"/>
      <c r="G4" s="399"/>
    </row>
    <row r="5" spans="1:13">
      <c r="A5" s="102" t="s">
        <v>38</v>
      </c>
      <c r="B5" s="397" t="s">
        <v>204</v>
      </c>
      <c r="C5" s="398"/>
      <c r="D5" s="398"/>
      <c r="E5" s="398"/>
      <c r="F5" s="398"/>
      <c r="G5" s="399"/>
    </row>
    <row r="6" spans="1:13">
      <c r="A6" s="102" t="s">
        <v>6</v>
      </c>
      <c r="B6" s="397" t="s">
        <v>4</v>
      </c>
      <c r="C6" s="398"/>
      <c r="D6" s="399"/>
      <c r="E6" s="149" t="s">
        <v>42</v>
      </c>
      <c r="F6" s="216" t="str">
        <f>$I$6</f>
        <v>近接or遠隔</v>
      </c>
      <c r="G6" s="148" t="str">
        <f>$J$6</f>
        <v>武器</v>
      </c>
      <c r="H6" s="130" t="s">
        <v>42</v>
      </c>
      <c r="I6" s="131" t="s">
        <v>176</v>
      </c>
      <c r="J6" s="142" t="s">
        <v>178</v>
      </c>
    </row>
    <row r="7" spans="1:13">
      <c r="A7" s="103" t="s">
        <v>5</v>
      </c>
      <c r="B7" s="397" t="s">
        <v>94</v>
      </c>
      <c r="C7" s="398"/>
      <c r="D7" s="399"/>
      <c r="E7" s="149" t="s">
        <v>67</v>
      </c>
      <c r="F7" s="148" t="str">
        <f>IF($I$7 = 0,"", $I$7)</f>
        <v/>
      </c>
      <c r="G7" s="148" t="str">
        <f>IF($J$7 = 0,"", $J$7)</f>
        <v/>
      </c>
      <c r="H7" s="130" t="s">
        <v>67</v>
      </c>
      <c r="I7" s="131"/>
      <c r="J7" s="131"/>
    </row>
    <row r="8" spans="1:13">
      <c r="A8" s="103" t="s">
        <v>199</v>
      </c>
      <c r="B8" s="430" t="s">
        <v>246</v>
      </c>
      <c r="C8" s="431"/>
      <c r="D8" s="431"/>
      <c r="E8" s="431"/>
      <c r="F8" s="431"/>
      <c r="G8" s="432"/>
      <c r="H8" s="130" t="s">
        <v>87</v>
      </c>
      <c r="I8" s="131" t="s">
        <v>124</v>
      </c>
      <c r="J8" s="100" t="s">
        <v>63</v>
      </c>
    </row>
    <row r="9" spans="1:13">
      <c r="A9" s="103" t="s">
        <v>7</v>
      </c>
      <c r="B9" s="397" t="s">
        <v>171</v>
      </c>
      <c r="C9" s="398"/>
      <c r="D9" s="398"/>
      <c r="E9" s="398"/>
      <c r="F9" s="398"/>
      <c r="G9" s="399"/>
      <c r="H9" s="130" t="s">
        <v>50</v>
      </c>
      <c r="I9" s="131" t="s">
        <v>13</v>
      </c>
      <c r="J9" s="129">
        <f>IF($I$9 = "筋力",基本!$C$5,IF($I$9 = "耐久力",基本!$C$6,IF($I$9 = "敏捷力",基本!$C$7,IF($I$9 = "知力",基本!$C$8,IF($I$9 = "判断力",基本!$C$9,IF($I$9 = "魅力",基本!$C$10,""))))))</f>
        <v>6</v>
      </c>
      <c r="K9" s="131" t="s">
        <v>93</v>
      </c>
    </row>
    <row r="10" spans="1:13">
      <c r="A10" s="105" t="s">
        <v>8</v>
      </c>
      <c r="B10" s="400" t="s">
        <v>188</v>
      </c>
      <c r="C10" s="401"/>
      <c r="D10" s="401"/>
      <c r="E10" s="401"/>
      <c r="F10" s="401"/>
      <c r="G10" s="402"/>
      <c r="H10" s="130" t="s">
        <v>59</v>
      </c>
      <c r="I10" s="131">
        <v>0</v>
      </c>
      <c r="J10" s="296" t="s">
        <v>52</v>
      </c>
      <c r="K10" s="297"/>
      <c r="L10" s="129">
        <f>IF($I$8=基本!$F$4,基本!$O$7,IF($I$8=基本!$F$13,基本!$O$16,IF($I$8=基本!$F$22,基本!$O$25,IF($I$8=基本!$F$31,基本!$O$34,IF($I$8=基本!$F$40,基本!$O$43,0)))))</f>
        <v>17</v>
      </c>
    </row>
    <row r="11" spans="1:13">
      <c r="A11" s="104"/>
      <c r="B11" s="372" t="s">
        <v>198</v>
      </c>
      <c r="C11" s="365"/>
      <c r="D11" s="365"/>
      <c r="E11" s="365"/>
      <c r="F11" s="365"/>
      <c r="G11" s="366"/>
      <c r="H11" s="108" t="s">
        <v>51</v>
      </c>
      <c r="I11" s="131" t="s">
        <v>13</v>
      </c>
      <c r="J11" s="110">
        <f>IF($I$9 = "筋力",基本!$C$5,IF($I$11 = "耐久力",基本!$C$6,IF($I$11 = "敏捷力",基本!$C$7,IF($I$11 = "知力",基本!$C$8,IF($I$11 = "判断力",基本!$C$9,IF($I$11 = "魅力",基本!$C$10,""))))))</f>
        <v>6</v>
      </c>
      <c r="L11" s="94"/>
    </row>
    <row r="12" spans="1:13">
      <c r="A12" s="104"/>
      <c r="B12" s="364"/>
      <c r="C12" s="365"/>
      <c r="D12" s="365"/>
      <c r="E12" s="365"/>
      <c r="F12" s="365"/>
      <c r="G12" s="366"/>
      <c r="H12" s="130" t="s">
        <v>60</v>
      </c>
      <c r="I12" s="131">
        <v>0</v>
      </c>
      <c r="J12" s="296" t="s">
        <v>53</v>
      </c>
      <c r="K12" s="297"/>
      <c r="L12" s="129">
        <f>IF($I$8=基本!$F$4,基本!$O$9,IF($I$8=基本!$F$13,基本!$O$18,IF($I$8=基本!$F$22,基本!$O$27,IF($I$8=基本!$F$31,基本!$O$36,IF($I$8=基本!$F$40,基本!$O$45,0)))))</f>
        <v>6</v>
      </c>
    </row>
    <row r="13" spans="1:13" ht="18.75" customHeight="1">
      <c r="A13" s="104"/>
      <c r="B13" s="433" t="s">
        <v>247</v>
      </c>
      <c r="C13" s="434"/>
      <c r="D13" s="434"/>
      <c r="E13" s="434"/>
      <c r="F13" s="434"/>
      <c r="G13" s="435"/>
      <c r="H13" s="109" t="s">
        <v>88</v>
      </c>
      <c r="I13" s="131">
        <v>1</v>
      </c>
      <c r="J13" s="130" t="s">
        <v>43</v>
      </c>
      <c r="K13" s="131">
        <v>4</v>
      </c>
      <c r="L13" s="137">
        <v>6</v>
      </c>
      <c r="M13" s="147" t="s">
        <v>166</v>
      </c>
    </row>
    <row r="14" spans="1:13" ht="18.75" customHeight="1">
      <c r="A14" s="104"/>
      <c r="B14" s="426" t="s">
        <v>255</v>
      </c>
      <c r="C14" s="427"/>
      <c r="D14" s="427"/>
      <c r="E14" s="427"/>
      <c r="F14" s="200">
        <f>基本!$C$10</f>
        <v>5</v>
      </c>
      <c r="G14" s="199"/>
      <c r="H14" s="130" t="s">
        <v>49</v>
      </c>
      <c r="I14" s="131">
        <v>4</v>
      </c>
      <c r="J14" s="130" t="s">
        <v>43</v>
      </c>
      <c r="K14" s="131">
        <v>12</v>
      </c>
    </row>
    <row r="15" spans="1:13">
      <c r="A15" s="106"/>
      <c r="B15" s="367"/>
      <c r="C15" s="368"/>
      <c r="D15" s="368"/>
      <c r="E15" s="368"/>
      <c r="F15" s="368"/>
      <c r="G15" s="369"/>
      <c r="H15" s="130" t="s">
        <v>61</v>
      </c>
      <c r="I15" s="131"/>
    </row>
    <row r="16" spans="1:13" ht="14.25" thickBot="1">
      <c r="A16" s="14" t="s">
        <v>46</v>
      </c>
      <c r="E16" s="3"/>
      <c r="H16" s="130" t="s">
        <v>130</v>
      </c>
      <c r="I16" s="119">
        <f>基本!$B$21</f>
        <v>3</v>
      </c>
      <c r="J16" s="130" t="s">
        <v>43</v>
      </c>
      <c r="K16" s="119">
        <f>基本!$D$21</f>
        <v>8</v>
      </c>
    </row>
    <row r="17" spans="1:11" ht="13.5" customHeight="1">
      <c r="A17" s="379" t="str">
        <f>$B$2</f>
        <v>デフト･ストライク</v>
      </c>
      <c r="B17" s="380"/>
      <c r="C17" s="381"/>
      <c r="D17" s="182" t="s">
        <v>244</v>
      </c>
      <c r="E17" s="385" t="s">
        <v>243</v>
      </c>
      <c r="F17" s="387"/>
      <c r="G17" s="132"/>
      <c r="H17" s="138" t="s">
        <v>167</v>
      </c>
      <c r="I17" s="119">
        <f>基本!$B$23</f>
        <v>1</v>
      </c>
      <c r="J17" s="139" t="s">
        <v>43</v>
      </c>
      <c r="K17" s="119">
        <f>基本!$D$23</f>
        <v>10</v>
      </c>
    </row>
    <row r="18" spans="1:11" ht="18.75" customHeight="1" thickBot="1">
      <c r="A18" s="382"/>
      <c r="B18" s="383"/>
      <c r="C18" s="384"/>
      <c r="D18" s="163" t="s">
        <v>240</v>
      </c>
      <c r="E18" s="164" t="s">
        <v>239</v>
      </c>
      <c r="F18" s="183" t="s">
        <v>241</v>
      </c>
      <c r="G18" s="132"/>
      <c r="H18" s="159"/>
      <c r="I18" s="160"/>
      <c r="J18" s="161"/>
      <c r="K18" s="160"/>
    </row>
    <row r="19" spans="1:11" ht="23.25" customHeight="1" thickBot="1">
      <c r="A19" s="428" t="s">
        <v>41</v>
      </c>
      <c r="B19" s="429"/>
      <c r="C19" s="184" t="str">
        <f>$K$9</f>
        <v>AC</v>
      </c>
      <c r="D19" s="177" t="str">
        <f>$J$9+$L$10+$I$10 &amp; "+1d20"&amp;"☆"</f>
        <v>23+1d20☆</v>
      </c>
      <c r="E19" s="178" t="str">
        <f>$J$9+$L$10+2+$I$10 &amp; "+1d20"&amp;"☆"</f>
        <v>25+1d20☆</v>
      </c>
      <c r="F19" s="179" t="str">
        <f>$J$9+$L$10+2+$I$10 &amp; "+1d20"&amp;"☆"</f>
        <v>25+1d20☆</v>
      </c>
      <c r="G19" s="132"/>
      <c r="H19" s="132"/>
      <c r="I19" s="132"/>
      <c r="J19" s="132"/>
      <c r="K19" s="132"/>
    </row>
    <row r="20" spans="1:11" ht="23.25" customHeight="1">
      <c r="A20" s="388" t="s">
        <v>1</v>
      </c>
      <c r="B20" s="171" t="s">
        <v>3</v>
      </c>
      <c r="C20" s="172" t="str">
        <f>IF($I$15 = 0,"", $I$15)</f>
        <v/>
      </c>
      <c r="D20" s="173" t="str">
        <f>$J$11+$L$12+$I$12 &amp; "+" &amp; $I$13 &amp; "d" &amp; $K$13</f>
        <v>12+1d4</v>
      </c>
      <c r="E20" s="174" t="str">
        <f>$J$11+$L$12+$I$12+2 &amp; "+" &amp; $I$13 &amp; "d" &amp; $K$13</f>
        <v>14+1d4</v>
      </c>
      <c r="F20" s="175" t="str">
        <f>$J$11+$L$12+$I$12+2 &amp; "+" &amp; $I$13 &amp; "d" &amp; $K$13 &amp; "+" &amp; $I$16 &amp; "d" &amp; $K$16</f>
        <v>14+1d4+3d8</v>
      </c>
      <c r="G20" s="132"/>
      <c r="H20" s="132"/>
      <c r="I20" s="132"/>
      <c r="J20" s="132"/>
      <c r="K20" s="132"/>
    </row>
    <row r="21" spans="1:11" ht="23.25" customHeight="1" thickBot="1">
      <c r="A21" s="389"/>
      <c r="B21" s="92" t="s">
        <v>2</v>
      </c>
      <c r="C21" s="87" t="str">
        <f>IF($I$15 = 0,"", $I$15)</f>
        <v/>
      </c>
      <c r="D21" s="88" t="str">
        <f>$J$11+$L$12+$I$12+($I$13*$K$13) &amp; IF($I$14 = 0,"","+" &amp; $I$14 &amp; "d" &amp; $K$14) &amp; IF($I$17 = 0,"","+" &amp; $I$17 &amp; "d" &amp; $K$17) &amp;"★"</f>
        <v>16+4d12+1d10★</v>
      </c>
      <c r="E21" s="151" t="str">
        <f>$J$11+$L$12+$I$12+2+($I$13*$K$13)&amp; IF($I$14 = 0,"","+" &amp; $I$14 &amp; "d" &amp; $K$14) &amp; IF($I$17 = 0,"","+" &amp; $I$17 &amp; "d" &amp; $K$17) &amp;"★"</f>
        <v>18+4d12+1d10★</v>
      </c>
      <c r="F21" s="89" t="str">
        <f>$J$11+$L$12+$I$12+2+($I$13*$K$13)+($I$16*$K$16) &amp; IF($I$14 = 0,"","+" &amp; $I$14 &amp; "d" &amp; $K$14) &amp; IF($I$17 = 0,"","+" &amp; $I$17 &amp; "d" &amp; $K$17) &amp;"★"</f>
        <v>42+4d12+1d10★</v>
      </c>
      <c r="J21" s="132"/>
      <c r="K21" s="132"/>
    </row>
    <row r="22" spans="1:11" ht="23.25" customHeight="1">
      <c r="A22" s="370" t="str">
        <f>汎12!$B$2</f>
        <v>メディティション・オヴ・ザ・ブレード</v>
      </c>
      <c r="B22" s="136" t="s">
        <v>3</v>
      </c>
      <c r="C22" s="86" t="str">
        <f>IF($I$15 = 0,"", $I$15)</f>
        <v/>
      </c>
      <c r="D22" s="90" t="str">
        <f>$J$11+$L$12+$I$12 &amp; "+" &amp; $I$13 &amp; "d" &amp; $L$13</f>
        <v>12+1d6</v>
      </c>
      <c r="E22" s="150" t="str">
        <f>$J$11+$L$12+$I$12+2 &amp;  "+" &amp; $I$13 &amp; "d" &amp; $L$13</f>
        <v>14+1d6</v>
      </c>
      <c r="F22" s="91" t="str">
        <f>$J$11+$L$12+$I$12+2 &amp; "+" &amp; $I$13 &amp; "d" &amp; $L$13 &amp; "+" &amp; $I$16 &amp; "d" &amp; $K$16</f>
        <v>14+1d6+3d8</v>
      </c>
      <c r="G22" s="132"/>
      <c r="H22" s="132"/>
      <c r="I22" s="132"/>
      <c r="J22" s="132"/>
      <c r="K22" s="132"/>
    </row>
    <row r="23" spans="1:11" ht="23.25" customHeight="1" thickBot="1">
      <c r="A23" s="371"/>
      <c r="B23" s="92" t="s">
        <v>2</v>
      </c>
      <c r="C23" s="87" t="str">
        <f>IF($I$15 = 0,"", $I$15)</f>
        <v/>
      </c>
      <c r="D23" s="88" t="str">
        <f>$J$11+$L$12+$I$12+($I$13*$L$13) &amp; IF($I$14 = 0,"","+" &amp; $I$14 &amp; "d" &amp; $K$14) &amp; IF($I$17 = 0,"","+" &amp; $I$17 &amp; "d" &amp; $K$17) &amp;"★"</f>
        <v>18+4d12+1d10★</v>
      </c>
      <c r="E23" s="151" t="str">
        <f>$J$11+$L$12+$I$12+2+($I$13*$L$13)&amp; IF($I$14 = 0,"","+" &amp; $I$14 &amp; "d" &amp; $K$14) &amp; IF($I$17 = 0,"","+" &amp; $I$17 &amp; "d" &amp; $K$17) &amp;"★"</f>
        <v>20+4d12+1d10★</v>
      </c>
      <c r="F23" s="89" t="str">
        <f>$J$11+$L$12+$I$12+2+($I$13*$L$13)+($I$16*$K$16) &amp; IF($I$14 = 0,"","+" &amp; $I$14 &amp; "d" &amp; $K$14) &amp; IF($I$17 = 0,"","+" &amp; $I$17 &amp; "d" &amp; $K$17) &amp;"★"</f>
        <v>44+4d12+1d10★</v>
      </c>
      <c r="G23" s="132"/>
      <c r="H23" s="132"/>
      <c r="I23" s="132"/>
      <c r="J23" s="132"/>
      <c r="K23" s="132"/>
    </row>
    <row r="24" spans="1:11" ht="24" customHeight="1">
      <c r="A24" s="360" t="s">
        <v>245</v>
      </c>
      <c r="B24" s="360"/>
      <c r="C24" s="360"/>
      <c r="D24" s="360"/>
      <c r="E24" s="360"/>
      <c r="F24" s="360"/>
      <c r="G24" s="360"/>
      <c r="I24" s="132"/>
      <c r="J24" s="132"/>
      <c r="K24" s="132"/>
    </row>
    <row r="25" spans="1:11" ht="13.5" customHeight="1">
      <c r="A25" s="361" t="s">
        <v>173</v>
      </c>
      <c r="B25" s="361"/>
      <c r="C25" s="361"/>
      <c r="D25" s="361"/>
      <c r="E25" s="361"/>
      <c r="F25" s="361"/>
      <c r="G25" s="361"/>
    </row>
    <row r="26" spans="1:11" ht="13.5" customHeight="1">
      <c r="A26" s="362" t="s">
        <v>174</v>
      </c>
      <c r="B26" s="362"/>
      <c r="C26" s="362"/>
      <c r="D26" s="362"/>
      <c r="E26" s="362"/>
      <c r="F26" s="362"/>
      <c r="G26" s="362"/>
      <c r="I26" s="132"/>
      <c r="J26" s="132"/>
      <c r="K26" s="132"/>
    </row>
    <row r="27" spans="1:11" ht="24" customHeight="1">
      <c r="A27" s="360" t="s">
        <v>235</v>
      </c>
      <c r="B27" s="360"/>
      <c r="C27" s="360"/>
      <c r="D27" s="360"/>
      <c r="E27" s="360"/>
      <c r="F27" s="360"/>
      <c r="G27" s="360"/>
      <c r="I27" s="132"/>
      <c r="J27" s="132"/>
      <c r="K27" s="132"/>
    </row>
    <row r="28" spans="1:11" ht="13.5" customHeight="1">
      <c r="A28" s="361" t="s">
        <v>236</v>
      </c>
      <c r="B28" s="361"/>
      <c r="C28" s="361"/>
      <c r="D28" s="361"/>
      <c r="E28" s="361"/>
      <c r="F28" s="361"/>
      <c r="G28" s="361"/>
    </row>
    <row r="29" spans="1:11" ht="13.5" customHeight="1">
      <c r="A29" s="361" t="s">
        <v>237</v>
      </c>
      <c r="B29" s="361"/>
      <c r="C29" s="361"/>
      <c r="D29" s="361"/>
      <c r="E29" s="361"/>
      <c r="F29" s="361"/>
      <c r="G29" s="361"/>
    </row>
    <row r="30" spans="1:11" ht="24" customHeight="1">
      <c r="A30" s="360" t="s">
        <v>498</v>
      </c>
      <c r="B30" s="360"/>
      <c r="C30" s="360"/>
      <c r="D30" s="360"/>
      <c r="E30" s="360"/>
      <c r="F30" s="360"/>
      <c r="G30" s="360"/>
      <c r="I30" s="132"/>
      <c r="J30" s="132"/>
      <c r="K30" s="132"/>
    </row>
    <row r="31" spans="1:11" ht="13.5" customHeight="1">
      <c r="A31" s="361" t="s">
        <v>496</v>
      </c>
      <c r="B31" s="361"/>
      <c r="C31" s="361"/>
      <c r="D31" s="361"/>
      <c r="E31" s="361"/>
      <c r="F31" s="361"/>
      <c r="G31" s="361"/>
    </row>
    <row r="32" spans="1:11" ht="13.5" customHeight="1">
      <c r="A32" s="363" t="s">
        <v>497</v>
      </c>
      <c r="B32" s="363"/>
      <c r="C32" s="363"/>
      <c r="D32" s="363"/>
      <c r="E32" s="363"/>
      <c r="F32" s="363"/>
      <c r="G32" s="363"/>
      <c r="I32" s="132"/>
      <c r="J32" s="132"/>
      <c r="K32" s="132"/>
    </row>
    <row r="33" spans="1:12" ht="24" customHeight="1">
      <c r="A33" s="360" t="s">
        <v>515</v>
      </c>
      <c r="B33" s="360"/>
      <c r="C33" s="360"/>
      <c r="D33" s="360"/>
      <c r="E33" s="360"/>
      <c r="F33" s="360"/>
      <c r="G33" s="360"/>
      <c r="I33" s="132"/>
      <c r="J33" s="132"/>
      <c r="K33" s="132"/>
    </row>
    <row r="34" spans="1:12" ht="13.5" customHeight="1">
      <c r="A34" s="361" t="s">
        <v>200</v>
      </c>
      <c r="B34" s="361"/>
      <c r="C34" s="361"/>
      <c r="D34" s="361"/>
      <c r="E34" s="361"/>
      <c r="F34" s="361"/>
      <c r="G34" s="361"/>
    </row>
    <row r="35" spans="1:12" ht="13.5" customHeight="1">
      <c r="A35" s="362" t="s">
        <v>175</v>
      </c>
      <c r="B35" s="362"/>
      <c r="C35" s="362"/>
      <c r="D35" s="362"/>
      <c r="E35" s="362"/>
      <c r="F35" s="362"/>
      <c r="G35" s="362"/>
      <c r="I35" s="132"/>
      <c r="J35" s="132"/>
      <c r="K35" s="132"/>
    </row>
    <row r="36" spans="1:12">
      <c r="A36" s="133"/>
      <c r="B36" s="133"/>
      <c r="C36" s="133"/>
      <c r="D36" s="133"/>
      <c r="E36" s="133"/>
      <c r="F36" s="133"/>
      <c r="G36" s="133"/>
    </row>
    <row r="37" spans="1:12">
      <c r="A37" s="416" t="s">
        <v>48</v>
      </c>
      <c r="B37" s="417"/>
      <c r="C37" s="417"/>
      <c r="D37" s="417"/>
      <c r="E37" s="417"/>
      <c r="F37" s="417"/>
      <c r="G37" s="418"/>
    </row>
    <row r="38" spans="1:12" ht="24.75" customHeight="1">
      <c r="A38" s="423" t="s">
        <v>254</v>
      </c>
      <c r="B38" s="424"/>
      <c r="C38" s="424"/>
      <c r="D38" s="424"/>
      <c r="E38" s="424"/>
      <c r="F38" s="424"/>
      <c r="G38" s="425"/>
    </row>
    <row r="39" spans="1:12" s="94" customFormat="1" ht="10.5" customHeight="1">
      <c r="A39" s="372"/>
      <c r="B39" s="365"/>
      <c r="C39" s="365"/>
      <c r="D39" s="365"/>
      <c r="E39" s="365"/>
      <c r="F39" s="365"/>
      <c r="G39" s="366"/>
      <c r="L39" s="132"/>
    </row>
    <row r="40" spans="1:12" s="94" customFormat="1" ht="20.25" customHeight="1">
      <c r="A40" s="373" t="s">
        <v>316</v>
      </c>
      <c r="B40" s="374"/>
      <c r="C40" s="374"/>
      <c r="D40" s="374"/>
      <c r="E40" s="374"/>
      <c r="F40" s="374"/>
      <c r="G40" s="375"/>
      <c r="L40" s="132"/>
    </row>
    <row r="41" spans="1:12" s="94" customFormat="1">
      <c r="A41" s="372" t="s">
        <v>321</v>
      </c>
      <c r="B41" s="365"/>
      <c r="C41" s="365"/>
      <c r="D41" s="365"/>
      <c r="E41" s="365"/>
      <c r="F41" s="365"/>
      <c r="G41" s="366"/>
      <c r="L41" s="132"/>
    </row>
    <row r="42" spans="1:12" s="94" customFormat="1">
      <c r="A42" s="372" t="s">
        <v>317</v>
      </c>
      <c r="B42" s="365"/>
      <c r="C42" s="365"/>
      <c r="D42" s="365"/>
      <c r="E42" s="365"/>
      <c r="F42" s="365"/>
      <c r="G42" s="366"/>
      <c r="L42" s="132"/>
    </row>
    <row r="43" spans="1:12" s="94" customFormat="1">
      <c r="A43" s="372" t="s">
        <v>318</v>
      </c>
      <c r="B43" s="365"/>
      <c r="C43" s="365"/>
      <c r="D43" s="365"/>
      <c r="E43" s="365"/>
      <c r="F43" s="365"/>
      <c r="G43" s="366"/>
      <c r="L43" s="132"/>
    </row>
    <row r="44" spans="1:12" s="94" customFormat="1">
      <c r="A44" s="372" t="s">
        <v>359</v>
      </c>
      <c r="B44" s="365"/>
      <c r="C44" s="365"/>
      <c r="D44" s="365"/>
      <c r="E44" s="365"/>
      <c r="F44" s="365"/>
      <c r="G44" s="366"/>
      <c r="L44" s="132"/>
    </row>
    <row r="45" spans="1:12" s="94" customFormat="1">
      <c r="A45" s="372"/>
      <c r="B45" s="365"/>
      <c r="C45" s="365"/>
      <c r="D45" s="365"/>
      <c r="E45" s="365"/>
      <c r="F45" s="365"/>
      <c r="G45" s="366"/>
      <c r="L45" s="132"/>
    </row>
    <row r="46" spans="1:12" s="94" customFormat="1">
      <c r="A46" s="372" t="s">
        <v>319</v>
      </c>
      <c r="B46" s="365"/>
      <c r="C46" s="365"/>
      <c r="D46" s="365"/>
      <c r="E46" s="365"/>
      <c r="F46" s="365"/>
      <c r="G46" s="366"/>
      <c r="L46" s="132"/>
    </row>
    <row r="47" spans="1:12" s="94" customFormat="1">
      <c r="A47" s="372" t="s">
        <v>320</v>
      </c>
      <c r="B47" s="365"/>
      <c r="C47" s="365"/>
      <c r="D47" s="365"/>
      <c r="E47" s="365"/>
      <c r="F47" s="365"/>
      <c r="G47" s="366"/>
      <c r="L47" s="132"/>
    </row>
    <row r="48" spans="1:12" s="94" customFormat="1">
      <c r="A48" s="372"/>
      <c r="B48" s="365"/>
      <c r="C48" s="365"/>
      <c r="D48" s="365"/>
      <c r="E48" s="365"/>
      <c r="F48" s="365"/>
      <c r="G48" s="366"/>
      <c r="L48" s="132"/>
    </row>
    <row r="49" spans="1:12" s="94" customFormat="1">
      <c r="A49" s="406"/>
      <c r="B49" s="368"/>
      <c r="C49" s="368"/>
      <c r="D49" s="368"/>
      <c r="E49" s="368"/>
      <c r="F49" s="368"/>
      <c r="G49" s="369"/>
      <c r="L49" s="132"/>
    </row>
    <row r="50" spans="1:12" s="94" customFormat="1" ht="21">
      <c r="A50" s="83" t="s">
        <v>31</v>
      </c>
      <c r="B50" s="134">
        <f>$B$1</f>
        <v>1</v>
      </c>
      <c r="C50" s="84" t="s">
        <v>39</v>
      </c>
      <c r="D50" s="85" t="str">
        <f>$E$1</f>
        <v>無限回</v>
      </c>
      <c r="E50" s="407" t="str">
        <f>$B$2</f>
        <v>デフト･ストライク</v>
      </c>
      <c r="F50" s="408"/>
      <c r="G50" s="409"/>
      <c r="L50" s="132"/>
    </row>
  </sheetData>
  <mergeCells count="48">
    <mergeCell ref="A48:G48"/>
    <mergeCell ref="A49:G49"/>
    <mergeCell ref="E50:G50"/>
    <mergeCell ref="A22:A23"/>
    <mergeCell ref="A46:G46"/>
    <mergeCell ref="A47:G47"/>
    <mergeCell ref="A40:G40"/>
    <mergeCell ref="A41:G41"/>
    <mergeCell ref="A42:G42"/>
    <mergeCell ref="A43:G43"/>
    <mergeCell ref="A44:G44"/>
    <mergeCell ref="A45:G45"/>
    <mergeCell ref="A39:G39"/>
    <mergeCell ref="A35:G35"/>
    <mergeCell ref="A37:G37"/>
    <mergeCell ref="A32:G32"/>
    <mergeCell ref="J10:K10"/>
    <mergeCell ref="A34:G34"/>
    <mergeCell ref="B12:G12"/>
    <mergeCell ref="J12:K12"/>
    <mergeCell ref="B13:G13"/>
    <mergeCell ref="B15:G15"/>
    <mergeCell ref="A24:G24"/>
    <mergeCell ref="A25:G25"/>
    <mergeCell ref="A26:G26"/>
    <mergeCell ref="A33:G33"/>
    <mergeCell ref="B11:G11"/>
    <mergeCell ref="A27:G27"/>
    <mergeCell ref="E17:F17"/>
    <mergeCell ref="A17:C18"/>
    <mergeCell ref="A30:G30"/>
    <mergeCell ref="A31:G31"/>
    <mergeCell ref="B6:D6"/>
    <mergeCell ref="B7:D7"/>
    <mergeCell ref="B8:G8"/>
    <mergeCell ref="B9:G9"/>
    <mergeCell ref="B10:G10"/>
    <mergeCell ref="B1:C1"/>
    <mergeCell ref="F1:G1"/>
    <mergeCell ref="B2:G2"/>
    <mergeCell ref="B4:G4"/>
    <mergeCell ref="B5:G5"/>
    <mergeCell ref="A38:G38"/>
    <mergeCell ref="B14:E14"/>
    <mergeCell ref="A28:G28"/>
    <mergeCell ref="A29:G29"/>
    <mergeCell ref="A20:A21"/>
    <mergeCell ref="A19:B1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 type="list" allowBlank="1" showInputMessage="1" showErrorMessage="1">
          <x14:formula1>
            <xm:f>基本!$A$14:$A$17</xm:f>
          </x14:formula1>
          <xm:sqref>K9</xm:sqref>
        </x14:dataValidation>
        <x14:dataValidation type="list" allowBlank="1" showInputMessage="1" showErrorMessage="1">
          <x14:formula1>
            <xm:f>基本!$A$5:$A$10</xm:f>
          </x14:formula1>
          <xm:sqref>I11 I9</xm:sqref>
        </x14:dataValidation>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2"/>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11" t="s">
        <v>97</v>
      </c>
      <c r="B1" s="392">
        <v>1</v>
      </c>
      <c r="C1" s="393"/>
      <c r="D1" s="13" t="s">
        <v>39</v>
      </c>
      <c r="E1" s="12" t="s">
        <v>40</v>
      </c>
      <c r="F1" s="394"/>
      <c r="G1" s="395"/>
      <c r="H1" s="15" t="s">
        <v>54</v>
      </c>
    </row>
    <row r="2" spans="1:13" ht="24.75" customHeight="1">
      <c r="A2" s="13" t="s">
        <v>0</v>
      </c>
      <c r="B2" s="396" t="s">
        <v>331</v>
      </c>
      <c r="C2" s="396"/>
      <c r="D2" s="396"/>
      <c r="E2" s="396"/>
      <c r="F2" s="396"/>
      <c r="G2" s="396"/>
      <c r="H2" s="15" t="s">
        <v>55</v>
      </c>
    </row>
    <row r="3" spans="1:13" ht="19.5" customHeight="1">
      <c r="A3" s="45" t="s">
        <v>47</v>
      </c>
      <c r="B3" s="1"/>
      <c r="C3" s="1"/>
      <c r="D3" s="1"/>
      <c r="I3" s="15"/>
    </row>
    <row r="4" spans="1:13">
      <c r="A4" s="16" t="s">
        <v>45</v>
      </c>
      <c r="B4" s="397" t="s">
        <v>203</v>
      </c>
      <c r="C4" s="398"/>
      <c r="D4" s="398"/>
      <c r="E4" s="398"/>
      <c r="F4" s="398"/>
      <c r="G4" s="399"/>
    </row>
    <row r="5" spans="1:13">
      <c r="A5" s="17" t="s">
        <v>38</v>
      </c>
      <c r="B5" s="397" t="s">
        <v>204</v>
      </c>
      <c r="C5" s="398"/>
      <c r="D5" s="398"/>
      <c r="E5" s="398"/>
      <c r="F5" s="398"/>
      <c r="G5" s="399"/>
    </row>
    <row r="6" spans="1:13">
      <c r="A6" s="17" t="s">
        <v>6</v>
      </c>
      <c r="B6" s="397" t="s">
        <v>4</v>
      </c>
      <c r="C6" s="398"/>
      <c r="D6" s="399"/>
      <c r="E6" s="149" t="s">
        <v>42</v>
      </c>
      <c r="F6" s="216" t="str">
        <f>$I$6</f>
        <v>近接or遠隔</v>
      </c>
      <c r="G6" s="148" t="str">
        <f>$J$6</f>
        <v>武器</v>
      </c>
      <c r="H6" s="65" t="s">
        <v>42</v>
      </c>
      <c r="I6" s="142" t="s">
        <v>176</v>
      </c>
      <c r="J6" s="66" t="s">
        <v>178</v>
      </c>
    </row>
    <row r="7" spans="1:13">
      <c r="A7" s="18" t="s">
        <v>5</v>
      </c>
      <c r="B7" s="397" t="s">
        <v>94</v>
      </c>
      <c r="C7" s="398"/>
      <c r="D7" s="399"/>
      <c r="E7" s="149" t="s">
        <v>67</v>
      </c>
      <c r="F7" s="148" t="str">
        <f>IF($I$7 = 0,"", $I$7)</f>
        <v/>
      </c>
      <c r="G7" s="148" t="str">
        <f>IF($J$7 = 0,"", $J$7)</f>
        <v/>
      </c>
      <c r="H7" s="65" t="s">
        <v>67</v>
      </c>
      <c r="I7" s="121"/>
      <c r="J7" s="66"/>
    </row>
    <row r="8" spans="1:13">
      <c r="A8" s="18" t="s">
        <v>7</v>
      </c>
      <c r="B8" s="397" t="s">
        <v>171</v>
      </c>
      <c r="C8" s="398"/>
      <c r="D8" s="398"/>
      <c r="E8" s="398"/>
      <c r="F8" s="398"/>
      <c r="G8" s="399"/>
      <c r="H8" s="65" t="s">
        <v>87</v>
      </c>
      <c r="I8" s="66" t="s">
        <v>124</v>
      </c>
      <c r="J8" s="15" t="s">
        <v>63</v>
      </c>
    </row>
    <row r="9" spans="1:13">
      <c r="A9" s="105" t="s">
        <v>8</v>
      </c>
      <c r="B9" s="400" t="s">
        <v>196</v>
      </c>
      <c r="C9" s="401"/>
      <c r="D9" s="401"/>
      <c r="E9" s="401"/>
      <c r="F9" s="401"/>
      <c r="G9" s="402"/>
      <c r="H9" s="65" t="s">
        <v>50</v>
      </c>
      <c r="I9" s="142" t="s">
        <v>13</v>
      </c>
      <c r="J9" s="64">
        <f>IF($I$9 = "筋力",基本!$C$5,IF($I$9 = "耐久力",基本!$C$6,IF($I$9 = "敏捷力",基本!$C$7,IF($I$9 = "知力",基本!$C$8,IF($I$9 = "判断力",基本!$C$9,IF($I$9 = "魅力",基本!$C$10,""))))))</f>
        <v>6</v>
      </c>
      <c r="K9" s="66" t="s">
        <v>93</v>
      </c>
    </row>
    <row r="10" spans="1:13">
      <c r="A10" s="104"/>
      <c r="B10" s="372" t="s">
        <v>197</v>
      </c>
      <c r="C10" s="365"/>
      <c r="D10" s="365"/>
      <c r="E10" s="365"/>
      <c r="F10" s="365"/>
      <c r="G10" s="366"/>
      <c r="H10" s="65" t="s">
        <v>59</v>
      </c>
      <c r="I10" s="66">
        <v>0</v>
      </c>
      <c r="J10" s="296" t="s">
        <v>52</v>
      </c>
      <c r="K10" s="297"/>
      <c r="L10" s="64">
        <f>IF($I$8=基本!$F$4,基本!$O$7,IF($I$8=基本!$F$13,基本!$O$16,IF($I$8=基本!$F$22,基本!$O$25,IF($I$8=基本!$F$31,基本!$O$34,IF($I$8=基本!$F$40,基本!$O$43,0)))))</f>
        <v>17</v>
      </c>
    </row>
    <row r="11" spans="1:13">
      <c r="A11" s="104"/>
      <c r="B11" s="372"/>
      <c r="C11" s="365"/>
      <c r="D11" s="365"/>
      <c r="E11" s="365"/>
      <c r="F11" s="365"/>
      <c r="G11" s="366"/>
      <c r="H11" s="43" t="s">
        <v>51</v>
      </c>
      <c r="I11" s="142" t="s">
        <v>13</v>
      </c>
      <c r="J11" s="42">
        <f>IF($I$9 = "筋力",基本!$C$5,IF($I$11 = "耐久力",基本!$C$6,IF($I$11 = "敏捷力",基本!$C$7,IF($I$11 = "知力",基本!$C$8,IF($I$11 = "判断力",基本!$C$9,IF($I$11 = "魅力",基本!$C$10,""))))))</f>
        <v>6</v>
      </c>
      <c r="L11" s="1"/>
    </row>
    <row r="12" spans="1:13">
      <c r="A12" s="104"/>
      <c r="B12" s="364"/>
      <c r="C12" s="365"/>
      <c r="D12" s="365"/>
      <c r="E12" s="365"/>
      <c r="F12" s="365"/>
      <c r="G12" s="366"/>
      <c r="H12" s="65" t="s">
        <v>60</v>
      </c>
      <c r="I12" s="66">
        <v>0</v>
      </c>
      <c r="J12" s="296" t="s">
        <v>53</v>
      </c>
      <c r="K12" s="297"/>
      <c r="L12" s="64">
        <f>IF($I$8=基本!$F$4,基本!$O$9,IF($I$8=基本!$F$13,基本!$O$18,IF($I$8=基本!$F$22,基本!$O$27,IF($I$8=基本!$F$31,基本!$O$36,IF($I$8=基本!$F$40,基本!$O$45,0)))))</f>
        <v>6</v>
      </c>
    </row>
    <row r="13" spans="1:13">
      <c r="A13" s="19"/>
      <c r="B13" s="364"/>
      <c r="C13" s="365"/>
      <c r="D13" s="365"/>
      <c r="E13" s="365"/>
      <c r="F13" s="365"/>
      <c r="G13" s="366"/>
      <c r="H13" s="44" t="s">
        <v>88</v>
      </c>
      <c r="I13" s="66">
        <v>1</v>
      </c>
      <c r="J13" s="65" t="s">
        <v>43</v>
      </c>
      <c r="K13" s="66">
        <v>4</v>
      </c>
      <c r="L13" s="137">
        <v>6</v>
      </c>
      <c r="M13" s="147" t="s">
        <v>166</v>
      </c>
    </row>
    <row r="14" spans="1:13">
      <c r="A14" s="19"/>
      <c r="B14" s="364"/>
      <c r="C14" s="365"/>
      <c r="D14" s="365"/>
      <c r="E14" s="365"/>
      <c r="F14" s="365"/>
      <c r="G14" s="366"/>
      <c r="H14" s="65" t="s">
        <v>49</v>
      </c>
      <c r="I14" s="66">
        <v>4</v>
      </c>
      <c r="J14" s="65" t="s">
        <v>43</v>
      </c>
      <c r="K14" s="66">
        <v>12</v>
      </c>
    </row>
    <row r="15" spans="1:13">
      <c r="A15" s="21"/>
      <c r="B15" s="367"/>
      <c r="C15" s="368"/>
      <c r="D15" s="368"/>
      <c r="E15" s="368"/>
      <c r="F15" s="368"/>
      <c r="G15" s="369"/>
      <c r="H15" s="65" t="s">
        <v>61</v>
      </c>
      <c r="I15" s="66"/>
    </row>
    <row r="16" spans="1:13" ht="14.25" thickBot="1">
      <c r="A16" s="14" t="s">
        <v>46</v>
      </c>
      <c r="E16" s="3"/>
      <c r="H16" s="77" t="s">
        <v>130</v>
      </c>
      <c r="I16" s="119">
        <f>基本!$B$21</f>
        <v>3</v>
      </c>
      <c r="J16" s="77" t="s">
        <v>43</v>
      </c>
      <c r="K16" s="119">
        <f>基本!$D$21</f>
        <v>8</v>
      </c>
      <c r="L16" s="132"/>
    </row>
    <row r="17" spans="1:11" s="132" customFormat="1" ht="13.5" customHeight="1">
      <c r="A17" s="379" t="str">
        <f>$B$2</f>
        <v>スライ･フラーリッシュ</v>
      </c>
      <c r="B17" s="380"/>
      <c r="C17" s="381"/>
      <c r="D17" s="182" t="s">
        <v>244</v>
      </c>
      <c r="E17" s="385" t="s">
        <v>243</v>
      </c>
      <c r="F17" s="387"/>
      <c r="H17" s="138" t="s">
        <v>167</v>
      </c>
      <c r="I17" s="119">
        <f>基本!$B$23</f>
        <v>1</v>
      </c>
      <c r="J17" s="139" t="s">
        <v>43</v>
      </c>
      <c r="K17" s="119">
        <f>基本!$D$23</f>
        <v>10</v>
      </c>
    </row>
    <row r="18" spans="1:11" s="132" customFormat="1" ht="18.75" customHeight="1" thickBot="1">
      <c r="A18" s="382"/>
      <c r="B18" s="383"/>
      <c r="C18" s="384"/>
      <c r="D18" s="163" t="s">
        <v>240</v>
      </c>
      <c r="E18" s="164" t="s">
        <v>239</v>
      </c>
      <c r="F18" s="183" t="s">
        <v>241</v>
      </c>
      <c r="H18" s="159"/>
      <c r="I18" s="160"/>
      <c r="J18" s="161"/>
      <c r="K18" s="160"/>
    </row>
    <row r="19" spans="1:11" ht="23.25" customHeight="1" thickBot="1">
      <c r="A19" s="428" t="s">
        <v>41</v>
      </c>
      <c r="B19" s="429"/>
      <c r="C19" s="184" t="str">
        <f>$K$9</f>
        <v>AC</v>
      </c>
      <c r="D19" s="177" t="str">
        <f>$J$9+$L$10+$I$10 &amp; "+1d20"&amp;"☆"</f>
        <v>23+1d20☆</v>
      </c>
      <c r="E19" s="178" t="str">
        <f>$J$9+$L$10+2+$I$10 &amp; "+1d20"&amp;"☆"</f>
        <v>25+1d20☆</v>
      </c>
      <c r="F19" s="179" t="str">
        <f>$J$9+$L$10+2+$I$10 &amp; "+1d20"&amp;"☆"</f>
        <v>25+1d20☆</v>
      </c>
      <c r="G19"/>
      <c r="H19"/>
      <c r="I19"/>
      <c r="J19"/>
      <c r="K19"/>
    </row>
    <row r="20" spans="1:11" ht="23.25" customHeight="1">
      <c r="A20" s="388" t="s">
        <v>1</v>
      </c>
      <c r="B20" s="171" t="s">
        <v>3</v>
      </c>
      <c r="C20" s="172" t="str">
        <f>IF($I$15 = 0,"", $I$15)</f>
        <v/>
      </c>
      <c r="D20" s="173" t="str">
        <f>$J$11+$L$12+$I$12+基本!$C$10 &amp; "+" &amp; $I$13 &amp; "d" &amp; $K$13</f>
        <v>17+1d4</v>
      </c>
      <c r="E20" s="174" t="str">
        <f>$J$11+$L$12+$I$12+基本!$C$10+2 &amp; "+" &amp; $I$13 &amp; "d" &amp; $K$13</f>
        <v>19+1d4</v>
      </c>
      <c r="F20" s="175" t="str">
        <f>$J$11+$L$12+$I$12+基本!$C$10+2 &amp; "+" &amp; $I$13 &amp; "d" &amp; $K$13 &amp; "+" &amp; $I$16 &amp; "d" &amp; $K$16</f>
        <v>19+1d4+3d8</v>
      </c>
      <c r="G20"/>
      <c r="H20"/>
      <c r="I20"/>
      <c r="J20"/>
      <c r="K20"/>
    </row>
    <row r="21" spans="1:11" ht="23.25" customHeight="1" thickBot="1">
      <c r="A21" s="389"/>
      <c r="B21" s="92" t="s">
        <v>2</v>
      </c>
      <c r="C21" s="87" t="str">
        <f>IF($I$15 = 0,"", $I$15)</f>
        <v/>
      </c>
      <c r="D21" s="88" t="str">
        <f>$J$11+$L$12+$I$12+基本!$C$10+($I$13*$K$13) &amp; IF($I$14 = 0,"","+" &amp; $I$14 &amp; "d" &amp; $K$14) &amp; IF($I$17 = 0,"","+" &amp; $I$17 &amp; "d" &amp; $K$17) &amp;"★"</f>
        <v>21+4d12+1d10★</v>
      </c>
      <c r="E21" s="151" t="str">
        <f>$J$11+$L$12+$I$12+基本!$C$10+2+($I$13*$K$13)&amp; IF($I$14 = 0,"","+" &amp; $I$14 &amp; "d" &amp; $K$14) &amp; IF($I$17 = 0,"","+" &amp; $I$17 &amp; "d" &amp; $K$17) &amp;"★"</f>
        <v>23+4d12+1d10★</v>
      </c>
      <c r="F21" s="89" t="str">
        <f>$J$11+$L$12+$I$12+基本!$C$10+2+($I$13*$K$13)+($I$16*$K$16) &amp; IF($I$14 = 0,"","+" &amp; $I$14 &amp; "d" &amp; $K$14) &amp; IF($I$17 = 0,"","+" &amp; $I$17 &amp; "d" &amp; $K$17) &amp;"★"</f>
        <v>47+4d12+1d10★</v>
      </c>
      <c r="J21"/>
      <c r="K21"/>
    </row>
    <row r="22" spans="1:11" s="132" customFormat="1" ht="23.25" customHeight="1">
      <c r="A22" s="370" t="str">
        <f>汎12!$B$2</f>
        <v>メディティション・オヴ・ザ・ブレード</v>
      </c>
      <c r="B22" s="136" t="s">
        <v>3</v>
      </c>
      <c r="C22" s="86" t="str">
        <f>IF($I$15 = 0,"", $I$15)</f>
        <v/>
      </c>
      <c r="D22" s="90" t="str">
        <f>$J$11+$L$12+$I$12+基本!$C$10 &amp; "+" &amp; $I$13 &amp; "d" &amp; $L$13</f>
        <v>17+1d6</v>
      </c>
      <c r="E22" s="150" t="str">
        <f>$J$11+$L$12+$I$12+基本!$C$10+2 &amp;  "+" &amp; $I$13 &amp; "d" &amp; $L$13</f>
        <v>19+1d6</v>
      </c>
      <c r="F22" s="91" t="str">
        <f>$J$11+$L$12+$I$12+基本!$C$10+2 &amp; "+" &amp; $I$13 &amp; "d" &amp; $L$13 &amp; "+" &amp; $I$16 &amp; "d" &amp; $K$16</f>
        <v>19+1d6+3d8</v>
      </c>
    </row>
    <row r="23" spans="1:11" s="132" customFormat="1" ht="23.25" customHeight="1" thickBot="1">
      <c r="A23" s="371"/>
      <c r="B23" s="92" t="s">
        <v>2</v>
      </c>
      <c r="C23" s="87" t="str">
        <f>IF($I$15 = 0,"", $I$15)</f>
        <v/>
      </c>
      <c r="D23" s="88" t="str">
        <f>$J$11+$L$12+$I$12+基本!$C$10+($I$13*$L$13) &amp; IF($I$14 = 0,"","+" &amp; $I$14 &amp; "d" &amp; $K$14) &amp; IF($I$17 = 0,"","+" &amp; $I$17 &amp; "d" &amp; $K$17) &amp;"★"</f>
        <v>23+4d12+1d10★</v>
      </c>
      <c r="E23" s="151" t="str">
        <f>$J$11+$L$12+$I$12+基本!$C$10+2+($I$13*$L$13)&amp; IF($I$14 = 0,"","+" &amp; $I$14 &amp; "d" &amp; $K$14) &amp; IF($I$17 = 0,"","+" &amp; $I$17 &amp; "d" &amp; $K$17) &amp;"★"</f>
        <v>25+4d12+1d10★</v>
      </c>
      <c r="F23" s="89" t="str">
        <f>$J$11+$L$12+$I$12+基本!$C$10+2+($I$13*$L$13)+($I$16*$K$16) &amp; IF($I$14 = 0,"","+" &amp; $I$14 &amp; "d" &amp; $K$14) &amp; IF($I$17 = 0,"","+" &amp; $I$17 &amp; "d" &amp; $K$17) &amp;"★"</f>
        <v>49+4d12+1d10★</v>
      </c>
    </row>
    <row r="24" spans="1:11" s="132" customFormat="1" ht="24" customHeight="1">
      <c r="A24" s="360" t="s">
        <v>170</v>
      </c>
      <c r="B24" s="360"/>
      <c r="C24" s="360"/>
      <c r="D24" s="360"/>
      <c r="E24" s="360"/>
      <c r="F24" s="360"/>
      <c r="G24" s="360"/>
      <c r="H24" s="94"/>
    </row>
    <row r="25" spans="1:11" s="132" customFormat="1" ht="13.5" customHeight="1">
      <c r="A25" s="361" t="s">
        <v>173</v>
      </c>
      <c r="B25" s="361"/>
      <c r="C25" s="361"/>
      <c r="D25" s="361"/>
      <c r="E25" s="361"/>
      <c r="F25" s="361"/>
      <c r="G25" s="361"/>
      <c r="H25" s="94"/>
      <c r="I25" s="94"/>
      <c r="J25" s="94"/>
      <c r="K25" s="94"/>
    </row>
    <row r="26" spans="1:11" s="132" customFormat="1" ht="13.5" customHeight="1">
      <c r="A26" s="362" t="s">
        <v>174</v>
      </c>
      <c r="B26" s="362"/>
      <c r="C26" s="362"/>
      <c r="D26" s="362"/>
      <c r="E26" s="362"/>
      <c r="F26" s="362"/>
      <c r="G26" s="362"/>
      <c r="H26" s="94"/>
    </row>
    <row r="27" spans="1:11" s="132" customFormat="1" ht="24" customHeight="1">
      <c r="A27" s="360" t="s">
        <v>235</v>
      </c>
      <c r="B27" s="360"/>
      <c r="C27" s="360"/>
      <c r="D27" s="360"/>
      <c r="E27" s="360"/>
      <c r="F27" s="360"/>
      <c r="G27" s="360"/>
      <c r="H27" s="94"/>
    </row>
    <row r="28" spans="1:11" s="132" customFormat="1" ht="13.5" customHeight="1">
      <c r="A28" s="361" t="s">
        <v>236</v>
      </c>
      <c r="B28" s="361"/>
      <c r="C28" s="361"/>
      <c r="D28" s="361"/>
      <c r="E28" s="361"/>
      <c r="F28" s="361"/>
      <c r="G28" s="361"/>
      <c r="H28" s="94"/>
      <c r="I28" s="94"/>
      <c r="J28" s="94"/>
      <c r="K28" s="94"/>
    </row>
    <row r="29" spans="1:11" s="132" customFormat="1" ht="13.5" customHeight="1">
      <c r="A29" s="361" t="s">
        <v>237</v>
      </c>
      <c r="B29" s="361"/>
      <c r="C29" s="361"/>
      <c r="D29" s="361"/>
      <c r="E29" s="361"/>
      <c r="F29" s="361"/>
      <c r="G29" s="361"/>
      <c r="H29" s="94"/>
      <c r="I29" s="94"/>
      <c r="J29" s="94"/>
      <c r="K29" s="94"/>
    </row>
    <row r="30" spans="1:11" s="132" customFormat="1" ht="24" customHeight="1">
      <c r="A30" s="360" t="s">
        <v>498</v>
      </c>
      <c r="B30" s="360"/>
      <c r="C30" s="360"/>
      <c r="D30" s="360"/>
      <c r="E30" s="360"/>
      <c r="F30" s="360"/>
      <c r="G30" s="360"/>
      <c r="H30" s="94"/>
    </row>
    <row r="31" spans="1:11" s="132" customFormat="1" ht="13.5" customHeight="1">
      <c r="A31" s="361" t="s">
        <v>496</v>
      </c>
      <c r="B31" s="361"/>
      <c r="C31" s="361"/>
      <c r="D31" s="361"/>
      <c r="E31" s="361"/>
      <c r="F31" s="361"/>
      <c r="G31" s="361"/>
      <c r="H31" s="94"/>
      <c r="I31" s="94"/>
      <c r="J31" s="94"/>
      <c r="K31" s="94"/>
    </row>
    <row r="32" spans="1:11" s="132" customFormat="1" ht="13.5" customHeight="1">
      <c r="A32" s="363" t="s">
        <v>497</v>
      </c>
      <c r="B32" s="363"/>
      <c r="C32" s="363"/>
      <c r="D32" s="363"/>
      <c r="E32" s="363"/>
      <c r="F32" s="363"/>
      <c r="G32" s="363"/>
      <c r="H32" s="94"/>
    </row>
    <row r="33" spans="1:12" s="132" customFormat="1" ht="24" customHeight="1">
      <c r="A33" s="360" t="s">
        <v>515</v>
      </c>
      <c r="B33" s="360"/>
      <c r="C33" s="360"/>
      <c r="D33" s="360"/>
      <c r="E33" s="360"/>
      <c r="F33" s="360"/>
      <c r="G33" s="360"/>
      <c r="H33" s="94"/>
    </row>
    <row r="34" spans="1:12" s="132" customFormat="1" ht="13.5" customHeight="1">
      <c r="A34" s="361" t="s">
        <v>200</v>
      </c>
      <c r="B34" s="361"/>
      <c r="C34" s="361"/>
      <c r="D34" s="361"/>
      <c r="E34" s="361"/>
      <c r="F34" s="361"/>
      <c r="G34" s="361"/>
      <c r="H34" s="94"/>
      <c r="I34" s="94"/>
      <c r="J34" s="94"/>
      <c r="K34" s="94"/>
    </row>
    <row r="35" spans="1:12" s="132" customFormat="1" ht="13.5" customHeight="1">
      <c r="A35" s="362" t="s">
        <v>175</v>
      </c>
      <c r="B35" s="362"/>
      <c r="C35" s="362"/>
      <c r="D35" s="362"/>
      <c r="E35" s="362"/>
      <c r="F35" s="362"/>
      <c r="G35" s="362"/>
      <c r="H35" s="94"/>
    </row>
    <row r="36" spans="1:12">
      <c r="A36" s="68"/>
      <c r="B36" s="68"/>
      <c r="C36" s="68"/>
      <c r="D36" s="68"/>
      <c r="E36" s="68"/>
      <c r="F36" s="68"/>
      <c r="G36" s="68"/>
    </row>
    <row r="37" spans="1:12">
      <c r="A37" s="416" t="s">
        <v>48</v>
      </c>
      <c r="B37" s="417"/>
      <c r="C37" s="417"/>
      <c r="D37" s="417"/>
      <c r="E37" s="417"/>
      <c r="F37" s="417"/>
      <c r="G37" s="418"/>
    </row>
    <row r="38" spans="1:12" ht="9.75" customHeight="1">
      <c r="A38" s="372"/>
      <c r="B38" s="365"/>
      <c r="C38" s="365"/>
      <c r="D38" s="365"/>
      <c r="E38" s="365"/>
      <c r="F38" s="365"/>
      <c r="G38" s="366"/>
    </row>
    <row r="39" spans="1:12" s="94" customFormat="1">
      <c r="A39" s="372" t="s">
        <v>337</v>
      </c>
      <c r="B39" s="365"/>
      <c r="C39" s="365"/>
      <c r="D39" s="365"/>
      <c r="E39" s="365"/>
      <c r="F39" s="365"/>
      <c r="G39" s="366"/>
      <c r="L39" s="132"/>
    </row>
    <row r="40" spans="1:12" s="1" customFormat="1">
      <c r="A40" s="372" t="s">
        <v>306</v>
      </c>
      <c r="B40" s="365"/>
      <c r="C40" s="365"/>
      <c r="D40" s="365"/>
      <c r="E40" s="365"/>
      <c r="F40" s="365"/>
      <c r="G40" s="366"/>
      <c r="L40"/>
    </row>
    <row r="41" spans="1:12" s="94" customFormat="1">
      <c r="A41" s="372" t="s">
        <v>336</v>
      </c>
      <c r="B41" s="365"/>
      <c r="C41" s="365"/>
      <c r="D41" s="365"/>
      <c r="E41" s="365"/>
      <c r="F41" s="365"/>
      <c r="G41" s="366"/>
      <c r="L41" s="132"/>
    </row>
    <row r="42" spans="1:12" s="1" customFormat="1">
      <c r="A42" s="372" t="s">
        <v>307</v>
      </c>
      <c r="B42" s="365"/>
      <c r="C42" s="365"/>
      <c r="D42" s="365"/>
      <c r="E42" s="365"/>
      <c r="F42" s="365"/>
      <c r="G42" s="366"/>
      <c r="L42"/>
    </row>
    <row r="43" spans="1:12" s="1" customFormat="1">
      <c r="A43" s="372" t="s">
        <v>338</v>
      </c>
      <c r="B43" s="365"/>
      <c r="C43" s="365"/>
      <c r="D43" s="365"/>
      <c r="E43" s="365"/>
      <c r="F43" s="365"/>
      <c r="G43" s="366"/>
      <c r="L43"/>
    </row>
    <row r="44" spans="1:12" s="1" customFormat="1" ht="20.25" customHeight="1">
      <c r="A44" s="419" t="s">
        <v>314</v>
      </c>
      <c r="B44" s="414"/>
      <c r="C44" s="414"/>
      <c r="D44" s="414"/>
      <c r="E44" s="414"/>
      <c r="F44" s="414"/>
      <c r="G44" s="415"/>
      <c r="L44"/>
    </row>
    <row r="45" spans="1:12" s="80" customFormat="1" ht="20.25" customHeight="1">
      <c r="A45" s="419" t="s">
        <v>308</v>
      </c>
      <c r="B45" s="414"/>
      <c r="C45" s="414"/>
      <c r="D45" s="414"/>
      <c r="E45" s="414"/>
      <c r="F45" s="414"/>
      <c r="G45" s="415"/>
      <c r="L45"/>
    </row>
    <row r="46" spans="1:12" s="80" customFormat="1">
      <c r="A46" s="372" t="s">
        <v>315</v>
      </c>
      <c r="B46" s="365"/>
      <c r="C46" s="365"/>
      <c r="D46" s="365"/>
      <c r="E46" s="365"/>
      <c r="F46" s="365"/>
      <c r="G46" s="366"/>
      <c r="L46"/>
    </row>
    <row r="47" spans="1:12" s="80" customFormat="1">
      <c r="A47" s="372"/>
      <c r="B47" s="365"/>
      <c r="C47" s="365"/>
      <c r="D47" s="365"/>
      <c r="E47" s="365"/>
      <c r="F47" s="365"/>
      <c r="G47" s="366"/>
      <c r="L47"/>
    </row>
    <row r="48" spans="1:12" s="94" customFormat="1" ht="8.25" customHeight="1">
      <c r="A48" s="213"/>
      <c r="B48" s="214"/>
      <c r="C48" s="214"/>
      <c r="D48" s="214"/>
      <c r="E48" s="214"/>
      <c r="F48" s="214"/>
      <c r="G48" s="215"/>
      <c r="L48" s="132"/>
    </row>
    <row r="49" spans="1:12" s="94" customFormat="1">
      <c r="A49" s="372" t="s">
        <v>322</v>
      </c>
      <c r="B49" s="365"/>
      <c r="C49" s="365"/>
      <c r="D49" s="365"/>
      <c r="E49" s="365"/>
      <c r="F49" s="365"/>
      <c r="G49" s="366"/>
      <c r="L49" s="132"/>
    </row>
    <row r="50" spans="1:12" s="94" customFormat="1">
      <c r="A50" s="372" t="s">
        <v>323</v>
      </c>
      <c r="B50" s="365"/>
      <c r="C50" s="365"/>
      <c r="D50" s="365"/>
      <c r="E50" s="365"/>
      <c r="F50" s="365"/>
      <c r="G50" s="366"/>
      <c r="L50" s="132"/>
    </row>
    <row r="51" spans="1:12" s="1" customFormat="1">
      <c r="A51" s="406"/>
      <c r="B51" s="368"/>
      <c r="C51" s="368"/>
      <c r="D51" s="368"/>
      <c r="E51" s="368"/>
      <c r="F51" s="368"/>
      <c r="G51" s="369"/>
      <c r="L51"/>
    </row>
    <row r="52" spans="1:12" s="1" customFormat="1" ht="21">
      <c r="A52" s="29" t="s">
        <v>31</v>
      </c>
      <c r="B52" s="67">
        <f>$B$1</f>
        <v>1</v>
      </c>
      <c r="C52" s="30" t="s">
        <v>39</v>
      </c>
      <c r="D52" s="31" t="str">
        <f>$E$1</f>
        <v>無限回</v>
      </c>
      <c r="E52" s="407" t="str">
        <f>$B$2</f>
        <v>スライ･フラーリッシュ</v>
      </c>
      <c r="F52" s="408"/>
      <c r="G52" s="409"/>
      <c r="L52"/>
    </row>
  </sheetData>
  <mergeCells count="49">
    <mergeCell ref="A38:G38"/>
    <mergeCell ref="A24:G24"/>
    <mergeCell ref="A25:G25"/>
    <mergeCell ref="A26:G26"/>
    <mergeCell ref="B15:G15"/>
    <mergeCell ref="A32:G32"/>
    <mergeCell ref="B13:G13"/>
    <mergeCell ref="B14:G14"/>
    <mergeCell ref="A35:G35"/>
    <mergeCell ref="A37:G37"/>
    <mergeCell ref="A22:A23"/>
    <mergeCell ref="A17:C18"/>
    <mergeCell ref="E17:F17"/>
    <mergeCell ref="A19:B19"/>
    <mergeCell ref="A20:A21"/>
    <mergeCell ref="A33:G33"/>
    <mergeCell ref="A34:G34"/>
    <mergeCell ref="A27:G27"/>
    <mergeCell ref="A28:G28"/>
    <mergeCell ref="A29:G29"/>
    <mergeCell ref="A30:G30"/>
    <mergeCell ref="A31:G31"/>
    <mergeCell ref="B1:C1"/>
    <mergeCell ref="F1:G1"/>
    <mergeCell ref="B2:G2"/>
    <mergeCell ref="B5:G5"/>
    <mergeCell ref="B4:G4"/>
    <mergeCell ref="B6:D6"/>
    <mergeCell ref="B7:D7"/>
    <mergeCell ref="B8:G8"/>
    <mergeCell ref="B9:G9"/>
    <mergeCell ref="J12:K12"/>
    <mergeCell ref="B12:G12"/>
    <mergeCell ref="J10:K10"/>
    <mergeCell ref="B10:G10"/>
    <mergeCell ref="B11:G11"/>
    <mergeCell ref="A39:G39"/>
    <mergeCell ref="A51:G51"/>
    <mergeCell ref="E52:G52"/>
    <mergeCell ref="A40:G40"/>
    <mergeCell ref="A42:G42"/>
    <mergeCell ref="A43:G43"/>
    <mergeCell ref="A44:G44"/>
    <mergeCell ref="A46:G46"/>
    <mergeCell ref="A47:G47"/>
    <mergeCell ref="A45:G45"/>
    <mergeCell ref="A41:G41"/>
    <mergeCell ref="A49:G49"/>
    <mergeCell ref="A50:G5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基本!$C$25:$C$35</xm:f>
          </x14:formula1>
          <xm:sqref>I15</xm:sqref>
        </x14:dataValidation>
        <x14:dataValidation type="list" allowBlank="1" showInputMessage="1" showErrorMessage="1">
          <x14:formula1>
            <xm:f>基本!$D$25:$D$29</xm:f>
          </x14:formula1>
          <xm:sqref>I8</xm:sqref>
        </x14:dataValidation>
        <x14:dataValidation type="list" allowBlank="1" showInputMessage="1" showErrorMessage="1">
          <x14:formula1>
            <xm:f>基本!$A$5:$A$10</xm:f>
          </x14:formula1>
          <xm:sqref>I9 I11</xm:sqref>
        </x14:dataValidation>
        <x14:dataValidation type="list" allowBlank="1" showInputMessage="1" showErrorMessage="1">
          <x14:formula1>
            <xm:f>基本!$A$14:$A$17</xm:f>
          </x14:formula1>
          <xm:sqref>K9</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61D02"/>
  </sheetPr>
  <dimension ref="A1:M53"/>
  <sheetViews>
    <sheetView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61" t="s">
        <v>31</v>
      </c>
      <c r="B1" s="455">
        <v>3</v>
      </c>
      <c r="C1" s="456"/>
      <c r="D1" s="62" t="s">
        <v>39</v>
      </c>
      <c r="E1" s="63" t="s">
        <v>56</v>
      </c>
      <c r="F1" s="457"/>
      <c r="G1" s="458"/>
      <c r="H1" s="15" t="s">
        <v>54</v>
      </c>
    </row>
    <row r="2" spans="1:13" ht="24.75" customHeight="1">
      <c r="A2" s="62" t="s">
        <v>0</v>
      </c>
      <c r="B2" s="459" t="s">
        <v>326</v>
      </c>
      <c r="C2" s="459"/>
      <c r="D2" s="459"/>
      <c r="E2" s="459"/>
      <c r="F2" s="459"/>
      <c r="G2" s="459"/>
      <c r="H2" s="15" t="s">
        <v>55</v>
      </c>
    </row>
    <row r="3" spans="1:13" ht="19.5" customHeight="1">
      <c r="A3" s="40" t="s">
        <v>47</v>
      </c>
      <c r="B3" s="1"/>
      <c r="C3" s="1"/>
      <c r="D3" s="1"/>
      <c r="I3" s="15"/>
    </row>
    <row r="4" spans="1:13">
      <c r="A4" s="16" t="s">
        <v>45</v>
      </c>
      <c r="B4" s="397" t="s">
        <v>192</v>
      </c>
      <c r="C4" s="398"/>
      <c r="D4" s="398"/>
      <c r="E4" s="398"/>
      <c r="F4" s="398"/>
      <c r="G4" s="399"/>
    </row>
    <row r="5" spans="1:13">
      <c r="A5" s="17" t="s">
        <v>38</v>
      </c>
      <c r="B5" s="397" t="s">
        <v>159</v>
      </c>
      <c r="C5" s="398"/>
      <c r="D5" s="398"/>
      <c r="E5" s="398"/>
      <c r="F5" s="398"/>
      <c r="G5" s="399"/>
    </row>
    <row r="6" spans="1:13">
      <c r="A6" s="17" t="s">
        <v>6</v>
      </c>
      <c r="B6" s="452" t="s">
        <v>193</v>
      </c>
      <c r="C6" s="453"/>
      <c r="D6" s="454"/>
      <c r="E6" s="149" t="s">
        <v>42</v>
      </c>
      <c r="F6" s="153" t="str">
        <f>$I$6</f>
        <v>近接</v>
      </c>
      <c r="G6" s="148" t="str">
        <f>IF($J$6 = 0,"", $J$6)</f>
        <v>武器</v>
      </c>
      <c r="H6" s="37" t="s">
        <v>42</v>
      </c>
      <c r="I6" s="142" t="s">
        <v>70</v>
      </c>
      <c r="J6" s="36" t="s">
        <v>178</v>
      </c>
    </row>
    <row r="7" spans="1:13">
      <c r="A7" s="18" t="s">
        <v>5</v>
      </c>
      <c r="B7" s="397" t="s">
        <v>86</v>
      </c>
      <c r="C7" s="398"/>
      <c r="D7" s="399"/>
      <c r="E7" s="149" t="s">
        <v>67</v>
      </c>
      <c r="F7" s="148" t="str">
        <f>IF($I$7 = 0,"", $I$7)</f>
        <v/>
      </c>
      <c r="G7" s="148" t="str">
        <f>IF($J$7 = 0,"", $J$7)</f>
        <v/>
      </c>
      <c r="H7" s="37" t="s">
        <v>67</v>
      </c>
      <c r="I7" s="121"/>
      <c r="J7" s="36"/>
    </row>
    <row r="8" spans="1:13">
      <c r="A8" s="103" t="s">
        <v>7</v>
      </c>
      <c r="B8" s="397" t="s">
        <v>248</v>
      </c>
      <c r="C8" s="398"/>
      <c r="D8" s="398"/>
      <c r="E8" s="398"/>
      <c r="F8" s="398"/>
      <c r="G8" s="399"/>
      <c r="H8" s="37" t="s">
        <v>87</v>
      </c>
      <c r="I8" s="36" t="s">
        <v>124</v>
      </c>
      <c r="J8" s="15" t="s">
        <v>63</v>
      </c>
    </row>
    <row r="9" spans="1:13">
      <c r="A9" s="104" t="s">
        <v>8</v>
      </c>
      <c r="B9" s="400" t="s">
        <v>188</v>
      </c>
      <c r="C9" s="401"/>
      <c r="D9" s="401"/>
      <c r="E9" s="401"/>
      <c r="F9" s="401"/>
      <c r="G9" s="402"/>
      <c r="H9" s="37" t="s">
        <v>50</v>
      </c>
      <c r="I9" s="36" t="s">
        <v>13</v>
      </c>
      <c r="J9" s="38">
        <f>IF($I$9 = "筋力",基本!$C$5,IF($I$9 = "耐久力",基本!$C$6,IF($I$9 = "敏捷力",基本!$C$7,IF($I$9 = "知力",基本!$C$8,IF($I$9 = "判断力",基本!$C$9,IF($I$9 = "魅力",基本!$C$10,""))))))</f>
        <v>6</v>
      </c>
      <c r="K9" s="36" t="s">
        <v>19</v>
      </c>
    </row>
    <row r="10" spans="1:13">
      <c r="A10" s="104"/>
      <c r="B10" s="372" t="s">
        <v>195</v>
      </c>
      <c r="C10" s="365"/>
      <c r="D10" s="365"/>
      <c r="E10" s="365"/>
      <c r="F10" s="365"/>
      <c r="G10" s="366"/>
      <c r="H10" s="37" t="s">
        <v>59</v>
      </c>
      <c r="I10" s="36">
        <v>0</v>
      </c>
      <c r="J10" s="296" t="s">
        <v>52</v>
      </c>
      <c r="K10" s="297"/>
      <c r="L10" s="38">
        <f>IF($I$8=基本!$F$4,基本!$O$7,IF($I$8=基本!$F$13,基本!$O$16,IF($I$8=基本!$F$22,基本!$O$25,IF($I$8=基本!$F$31,基本!$O$34,IF($I$8=基本!$F$40,基本!$O$43,0)))))</f>
        <v>17</v>
      </c>
    </row>
    <row r="11" spans="1:13">
      <c r="A11" s="104"/>
      <c r="B11" s="372" t="s">
        <v>194</v>
      </c>
      <c r="C11" s="365"/>
      <c r="D11" s="365"/>
      <c r="E11" s="365"/>
      <c r="F11" s="365"/>
      <c r="G11" s="366"/>
      <c r="H11" s="39" t="s">
        <v>51</v>
      </c>
      <c r="I11" s="36" t="s">
        <v>13</v>
      </c>
      <c r="J11" s="42">
        <f>IF($I$9 = "筋力",基本!$C$5,IF($I$11 = "耐久力",基本!$C$6,IF($I$11 = "敏捷力",基本!$C$7,IF($I$11 = "知力",基本!$C$8,IF($I$11 = "判断力",基本!$C$9,IF($I$11 = "魅力",基本!$C$10,""))))))</f>
        <v>6</v>
      </c>
      <c r="L11" s="1"/>
    </row>
    <row r="12" spans="1:13" ht="7.5" customHeight="1">
      <c r="A12" s="19"/>
      <c r="B12" s="372"/>
      <c r="C12" s="365"/>
      <c r="D12" s="365"/>
      <c r="E12" s="365"/>
      <c r="F12" s="365"/>
      <c r="G12" s="366"/>
      <c r="H12" s="37" t="s">
        <v>60</v>
      </c>
      <c r="I12" s="36">
        <v>0</v>
      </c>
      <c r="J12" s="296" t="s">
        <v>53</v>
      </c>
      <c r="K12" s="297"/>
      <c r="L12" s="124">
        <f>IF($I$8=基本!$F$4,基本!$O$9,IF($I$8=基本!$F$13,基本!$O$18,IF($I$8=基本!$F$22,基本!$O$27,IF($I$8=基本!$F$31,基本!$O$36,IF($I$8=基本!$F$40,基本!$O$45,0)))))</f>
        <v>6</v>
      </c>
    </row>
    <row r="13" spans="1:13" s="283" customFormat="1" ht="21">
      <c r="A13" s="278"/>
      <c r="B13" s="460" t="str">
        <f>"　　　　　　　　１マス横滑り＋減速状態（次Ｔ終）"</f>
        <v>　　　　　　　　１マス横滑り＋減速状態（次Ｔ終）</v>
      </c>
      <c r="C13" s="461"/>
      <c r="D13" s="461"/>
      <c r="E13" s="461"/>
      <c r="F13" s="461"/>
      <c r="G13" s="462"/>
      <c r="H13" s="279" t="s">
        <v>88</v>
      </c>
      <c r="I13" s="280">
        <v>1</v>
      </c>
      <c r="J13" s="281" t="s">
        <v>43</v>
      </c>
      <c r="K13" s="280">
        <v>4</v>
      </c>
      <c r="L13" s="280">
        <v>6</v>
      </c>
      <c r="M13" s="282" t="s">
        <v>166</v>
      </c>
    </row>
    <row r="14" spans="1:13" s="283" customFormat="1" ht="21">
      <c r="A14" s="278"/>
      <c r="B14" s="460" t="str">
        <f>"　　　　　　　　挟撃しているなら " &amp; 基本!$C$10 &amp; " の追加ダメージ"</f>
        <v>　　　　　　　　挟撃しているなら 5 の追加ダメージ</v>
      </c>
      <c r="C14" s="461"/>
      <c r="D14" s="461"/>
      <c r="E14" s="461"/>
      <c r="F14" s="461"/>
      <c r="G14" s="462"/>
      <c r="H14" s="281" t="s">
        <v>49</v>
      </c>
      <c r="I14" s="280">
        <v>4</v>
      </c>
      <c r="J14" s="281" t="s">
        <v>43</v>
      </c>
      <c r="K14" s="280">
        <v>12</v>
      </c>
    </row>
    <row r="15" spans="1:13" ht="6.75" customHeight="1">
      <c r="A15" s="21"/>
      <c r="B15" s="463"/>
      <c r="C15" s="464"/>
      <c r="D15" s="464"/>
      <c r="E15" s="464"/>
      <c r="F15" s="464"/>
      <c r="G15" s="465"/>
      <c r="H15" s="37" t="s">
        <v>61</v>
      </c>
      <c r="I15" s="36"/>
    </row>
    <row r="16" spans="1:13" ht="14.25" thickBot="1">
      <c r="A16" s="14" t="s">
        <v>46</v>
      </c>
      <c r="E16" s="3"/>
      <c r="H16" s="77" t="s">
        <v>130</v>
      </c>
      <c r="I16" s="119">
        <f>基本!$B$21</f>
        <v>3</v>
      </c>
      <c r="J16" s="77" t="s">
        <v>43</v>
      </c>
      <c r="K16" s="119">
        <f>基本!$D$21</f>
        <v>8</v>
      </c>
      <c r="L16" s="132"/>
    </row>
    <row r="17" spans="1:11" s="132" customFormat="1" ht="13.5" customHeight="1">
      <c r="A17" s="467" t="str">
        <f>$B$2</f>
        <v>ロー・スラッシュ</v>
      </c>
      <c r="B17" s="468"/>
      <c r="C17" s="469"/>
      <c r="D17" s="182" t="s">
        <v>244</v>
      </c>
      <c r="E17" s="385" t="s">
        <v>243</v>
      </c>
      <c r="F17" s="386"/>
      <c r="G17" s="387"/>
      <c r="H17" s="138" t="s">
        <v>167</v>
      </c>
      <c r="I17" s="119">
        <f>基本!$B$23</f>
        <v>1</v>
      </c>
      <c r="J17" s="139" t="s">
        <v>43</v>
      </c>
      <c r="K17" s="119">
        <f>基本!$D$23</f>
        <v>10</v>
      </c>
    </row>
    <row r="18" spans="1:11" s="132" customFormat="1" ht="18.75" customHeight="1" thickBot="1">
      <c r="A18" s="470"/>
      <c r="B18" s="471"/>
      <c r="C18" s="472"/>
      <c r="D18" s="163" t="s">
        <v>240</v>
      </c>
      <c r="E18" s="164" t="s">
        <v>239</v>
      </c>
      <c r="F18" s="210" t="s">
        <v>241</v>
      </c>
      <c r="G18" s="212" t="s">
        <v>256</v>
      </c>
      <c r="H18" s="157" t="s">
        <v>60</v>
      </c>
      <c r="I18" s="158">
        <f>基本!C10</f>
        <v>5</v>
      </c>
      <c r="J18" s="161"/>
      <c r="K18" s="160"/>
    </row>
    <row r="19" spans="1:11" ht="23.25" customHeight="1" thickBot="1">
      <c r="A19" s="428" t="s">
        <v>41</v>
      </c>
      <c r="B19" s="429"/>
      <c r="C19" s="184" t="str">
        <f>$K$9</f>
        <v>反応</v>
      </c>
      <c r="D19" s="177" t="str">
        <f>$J$9+$L$10+$I$10 &amp; "+1d20"&amp;"☆"</f>
        <v>23+1d20☆</v>
      </c>
      <c r="E19" s="178" t="str">
        <f>$J$9+$L$10+2+$I$10 &amp; "+1d20"&amp;"☆"</f>
        <v>25+1d20☆</v>
      </c>
      <c r="F19" s="181" t="str">
        <f>$J$9+$L$10+2+$I$10 &amp; "+1d20"&amp;"☆"</f>
        <v>25+1d20☆</v>
      </c>
      <c r="G19" s="179" t="str">
        <f>$J$9+$L$10+2+$I$10 &amp; "+1d20"&amp;"☆"</f>
        <v>25+1d20☆</v>
      </c>
      <c r="H19" s="94"/>
      <c r="J19"/>
      <c r="K19"/>
    </row>
    <row r="20" spans="1:11" ht="23.25" customHeight="1">
      <c r="A20" s="388" t="s">
        <v>1</v>
      </c>
      <c r="B20" s="171" t="s">
        <v>3</v>
      </c>
      <c r="C20" s="172" t="str">
        <f>IF($I$15 = 0,"", $I$15)</f>
        <v/>
      </c>
      <c r="D20" s="173" t="str">
        <f>$J$11+$L$12+$I$12 &amp; "+" &amp; $I$13 &amp; "d" &amp; $K$13</f>
        <v>12+1d4</v>
      </c>
      <c r="E20" s="174" t="str">
        <f>$J$11+$L$12+$I$12+2 &amp; "+" &amp; $I$13 &amp; "d" &amp; $K$13</f>
        <v>14+1d4</v>
      </c>
      <c r="F20" s="180" t="str">
        <f>$J$11+$L$12+$I$12+2 &amp; "+" &amp; $I$13 &amp; "d" &amp; $K$13 &amp; "+" &amp; $I$16 &amp; "d" &amp; $K$16</f>
        <v>14+1d4+3d8</v>
      </c>
      <c r="G20" s="175" t="str">
        <f>$J$11+$L$12+$I$12+2+$I$18 &amp; "+" &amp; $I$13 &amp; "d" &amp; $K$13 &amp; "+" &amp; $I$16 &amp; "d" &amp; $K$16</f>
        <v>19+1d4+3d8</v>
      </c>
      <c r="H20" s="466" t="s">
        <v>233</v>
      </c>
      <c r="I20" s="361"/>
      <c r="J20" s="361"/>
      <c r="K20"/>
    </row>
    <row r="21" spans="1:11" ht="23.25" customHeight="1" thickBot="1">
      <c r="A21" s="389"/>
      <c r="B21" s="92" t="s">
        <v>2</v>
      </c>
      <c r="C21" s="87" t="str">
        <f>IF($I$15 = 0,"", $I$15)</f>
        <v/>
      </c>
      <c r="D21" s="88" t="str">
        <f>$J$11+$L$12+$I$12+($I$13*$K$13) &amp; IF($I$14 = 0,"","+" &amp; $I$14 &amp; "d" &amp; $K$14) &amp; IF($I$17 = 0,"","+" &amp; $I$17 &amp; "d" &amp; $K$17) &amp;"★"</f>
        <v>16+4d12+1d10★</v>
      </c>
      <c r="E21" s="151" t="str">
        <f>$J$11+$L$12+$I$12+2+($I$13*$K$13)&amp; IF($I$14 = 0,"","+" &amp; $I$14 &amp; "d" &amp; $K$14) &amp; IF($I$17 = 0,"","+" &amp; $I$17 &amp; "d" &amp; $K$17) &amp;"★"</f>
        <v>18+4d12+1d10★</v>
      </c>
      <c r="F21" s="169" t="str">
        <f>$J$11+$L$12+$I$12+2+($I$13*$K$13)+($I$16*$K$16) &amp; IF($I$14 = 0,"","+" &amp; $I$14 &amp; "d" &amp; $K$14) &amp; IF($I$17 = 0,"","+" &amp; $I$17 &amp; "d" &amp; $K$17) &amp;"★"</f>
        <v>42+4d12+1d10★</v>
      </c>
      <c r="G21" s="89" t="str">
        <f>$J$11+$L$12+$I$12+2+$I$18+($I$13*$K$13)+($I$16*$K$16) &amp; IF($I$14 = 0,"","+" &amp; $I$14 &amp; "d" &amp; $K$14) &amp; IF($I$17 = 0,"","+" &amp; $I$17 &amp; "d" &amp; $K$17) &amp;"★"</f>
        <v>47+4d12+1d10★</v>
      </c>
      <c r="H21" s="94"/>
      <c r="I21"/>
      <c r="J21"/>
      <c r="K21"/>
    </row>
    <row r="22" spans="1:11" s="132" customFormat="1" ht="23.25" customHeight="1">
      <c r="A22" s="370" t="str">
        <f>汎12!$B$2</f>
        <v>メディティション・オヴ・ザ・ブレード</v>
      </c>
      <c r="B22" s="136" t="s">
        <v>3</v>
      </c>
      <c r="C22" s="86" t="str">
        <f>IF($I$15 = 0,"", $I$15)</f>
        <v/>
      </c>
      <c r="D22" s="90" t="str">
        <f>$J$11+$L$12+$I$12 &amp; "+" &amp; $I$13 &amp; "d" &amp; $L$13</f>
        <v>12+1d6</v>
      </c>
      <c r="E22" s="150" t="str">
        <f>$J$11+$L$12+$I$12+2 &amp;  "+" &amp; $I$13 &amp; "d" &amp; $L$13</f>
        <v>14+1d6</v>
      </c>
      <c r="F22" s="211" t="str">
        <f>$J$11+$L$12+$I$12+2 &amp; "+" &amp; $I$13 &amp; "d" &amp; $L$13 &amp; "+" &amp; $I$16 &amp; "d" &amp; $K$16</f>
        <v>14+1d6+3d8</v>
      </c>
      <c r="G22" s="91" t="str">
        <f>$J$11+$L$12+$I$12+2+$I$18 &amp; "+" &amp; $I$13 &amp; "d" &amp; $L$13 &amp; "+" &amp; $I$16 &amp; "d" &amp; $K$16</f>
        <v>19+1d6+3d8</v>
      </c>
      <c r="H22" s="94"/>
    </row>
    <row r="23" spans="1:11" s="132" customFormat="1" ht="23.25" customHeight="1" thickBot="1">
      <c r="A23" s="371"/>
      <c r="B23" s="92" t="s">
        <v>2</v>
      </c>
      <c r="C23" s="87" t="str">
        <f>IF($I$15 = 0,"", $I$15)</f>
        <v/>
      </c>
      <c r="D23" s="88" t="str">
        <f>$J$11+$L$12+$I$12+($I$13*$L$13) &amp; IF($I$14 = 0,"","+" &amp; $I$14 &amp; "d" &amp; $K$14) &amp; IF($I$17 = 0,"","+" &amp; $I$17 &amp; "d" &amp; $K$17) &amp;"★"</f>
        <v>18+4d12+1d10★</v>
      </c>
      <c r="E23" s="151" t="str">
        <f>$J$11+$L$12+$I$12+2+($I$13*$L$13)&amp; IF($I$14 = 0,"","+" &amp; $I$14 &amp; "d" &amp; $K$14) &amp; IF($I$17 = 0,"","+" &amp; $I$17 &amp; "d" &amp; $K$17) &amp;"★"</f>
        <v>20+4d12+1d10★</v>
      </c>
      <c r="F23" s="169" t="str">
        <f>$J$11+$L$12+$I$12+2+($I$13*$L$13)+($I$16*$K$16) &amp; IF($I$14 = 0,"","+" &amp; $I$14 &amp; "d" &amp; $K$14) &amp; IF($I$17 = 0,"","+" &amp; $I$17 &amp; "d" &amp; $K$17) &amp;"★"</f>
        <v>44+4d12+1d10★</v>
      </c>
      <c r="G23" s="89" t="str">
        <f>$J$11+$L$12+$I$12+2+$I$18+($I$13*$L$13)+($I$16*$K$16) &amp; IF($I$14 = 0,"","+" &amp; $I$14 &amp; "d" &amp; $K$14) &amp; IF($I$17 = 0,"","+" &amp; $I$17 &amp; "d" &amp; $K$17) &amp;"★"</f>
        <v>49+4d12+1d10★</v>
      </c>
      <c r="H23" s="94"/>
    </row>
    <row r="24" spans="1:11" s="132" customFormat="1" ht="21" customHeight="1">
      <c r="A24" s="360" t="s">
        <v>170</v>
      </c>
      <c r="B24" s="360"/>
      <c r="C24" s="360"/>
      <c r="D24" s="360"/>
      <c r="E24" s="360"/>
      <c r="F24" s="360"/>
      <c r="G24" s="360"/>
      <c r="H24" s="94"/>
    </row>
    <row r="25" spans="1:11" s="132" customFormat="1" ht="13.5" customHeight="1">
      <c r="A25" s="361" t="s">
        <v>173</v>
      </c>
      <c r="B25" s="361"/>
      <c r="C25" s="361"/>
      <c r="D25" s="361"/>
      <c r="E25" s="361"/>
      <c r="F25" s="361"/>
      <c r="G25" s="361"/>
      <c r="H25" s="94"/>
      <c r="I25" s="94"/>
      <c r="J25" s="94"/>
      <c r="K25" s="94"/>
    </row>
    <row r="26" spans="1:11" s="132" customFormat="1" ht="13.5" customHeight="1">
      <c r="A26" s="362" t="s">
        <v>174</v>
      </c>
      <c r="B26" s="362"/>
      <c r="C26" s="362"/>
      <c r="D26" s="362"/>
      <c r="E26" s="362"/>
      <c r="F26" s="362"/>
      <c r="G26" s="362"/>
      <c r="H26" s="94"/>
    </row>
    <row r="27" spans="1:11" s="132" customFormat="1" ht="21" customHeight="1">
      <c r="A27" s="360" t="s">
        <v>235</v>
      </c>
      <c r="B27" s="360"/>
      <c r="C27" s="360"/>
      <c r="D27" s="360"/>
      <c r="E27" s="360"/>
      <c r="F27" s="360"/>
      <c r="G27" s="360"/>
      <c r="H27" s="94"/>
    </row>
    <row r="28" spans="1:11" s="132" customFormat="1" ht="13.5" customHeight="1">
      <c r="A28" s="361" t="s">
        <v>236</v>
      </c>
      <c r="B28" s="361"/>
      <c r="C28" s="361"/>
      <c r="D28" s="361"/>
      <c r="E28" s="361"/>
      <c r="F28" s="361"/>
      <c r="G28" s="361"/>
      <c r="H28" s="94"/>
      <c r="I28" s="94"/>
      <c r="J28" s="94"/>
      <c r="K28" s="94"/>
    </row>
    <row r="29" spans="1:11" s="132" customFormat="1" ht="13.5" customHeight="1">
      <c r="A29" s="361" t="s">
        <v>237</v>
      </c>
      <c r="B29" s="361"/>
      <c r="C29" s="361"/>
      <c r="D29" s="361"/>
      <c r="E29" s="361"/>
      <c r="F29" s="361"/>
      <c r="G29" s="361"/>
      <c r="H29" s="94"/>
      <c r="I29" s="94"/>
      <c r="J29" s="94"/>
      <c r="K29" s="94"/>
    </row>
    <row r="30" spans="1:11" s="132" customFormat="1" ht="21" customHeight="1">
      <c r="A30" s="360" t="s">
        <v>498</v>
      </c>
      <c r="B30" s="360"/>
      <c r="C30" s="360"/>
      <c r="D30" s="360"/>
      <c r="E30" s="360"/>
      <c r="F30" s="360"/>
      <c r="G30" s="360"/>
      <c r="H30" s="94"/>
    </row>
    <row r="31" spans="1:11" s="132" customFormat="1" ht="13.5" customHeight="1">
      <c r="A31" s="361" t="s">
        <v>496</v>
      </c>
      <c r="B31" s="361"/>
      <c r="C31" s="361"/>
      <c r="D31" s="361"/>
      <c r="E31" s="361"/>
      <c r="F31" s="361"/>
      <c r="G31" s="361"/>
      <c r="H31" s="94"/>
      <c r="I31" s="94"/>
      <c r="J31" s="94"/>
      <c r="K31" s="94"/>
    </row>
    <row r="32" spans="1:11" s="132" customFormat="1" ht="13.5" customHeight="1">
      <c r="A32" s="363" t="s">
        <v>497</v>
      </c>
      <c r="B32" s="363"/>
      <c r="C32" s="363"/>
      <c r="D32" s="363"/>
      <c r="E32" s="363"/>
      <c r="F32" s="363"/>
      <c r="G32" s="363"/>
      <c r="H32" s="94"/>
    </row>
    <row r="33" spans="1:12" s="132" customFormat="1" ht="21" customHeight="1">
      <c r="A33" s="360" t="s">
        <v>515</v>
      </c>
      <c r="B33" s="360"/>
      <c r="C33" s="360"/>
      <c r="D33" s="360"/>
      <c r="E33" s="360"/>
      <c r="F33" s="360"/>
      <c r="G33" s="360"/>
      <c r="H33" s="94"/>
    </row>
    <row r="34" spans="1:12" s="132" customFormat="1" ht="13.5" customHeight="1">
      <c r="A34" s="361" t="s">
        <v>200</v>
      </c>
      <c r="B34" s="361"/>
      <c r="C34" s="361"/>
      <c r="D34" s="361"/>
      <c r="E34" s="361"/>
      <c r="F34" s="361"/>
      <c r="G34" s="361"/>
      <c r="H34" s="94"/>
      <c r="I34" s="94"/>
      <c r="J34" s="94"/>
      <c r="K34" s="94"/>
    </row>
    <row r="35" spans="1:12" s="132" customFormat="1" ht="13.5" customHeight="1">
      <c r="A35" s="362" t="s">
        <v>175</v>
      </c>
      <c r="B35" s="362"/>
      <c r="C35" s="362"/>
      <c r="D35" s="362"/>
      <c r="E35" s="362"/>
      <c r="F35" s="362"/>
      <c r="G35" s="362"/>
      <c r="H35" s="94"/>
    </row>
    <row r="36" spans="1:12">
      <c r="A36" s="368"/>
      <c r="B36" s="368"/>
      <c r="C36" s="368"/>
      <c r="D36" s="368"/>
      <c r="E36" s="368"/>
      <c r="F36" s="368"/>
      <c r="G36" s="368"/>
    </row>
    <row r="37" spans="1:12">
      <c r="A37" s="416" t="s">
        <v>48</v>
      </c>
      <c r="B37" s="417"/>
      <c r="C37" s="417"/>
      <c r="D37" s="417"/>
      <c r="E37" s="417"/>
      <c r="F37" s="417"/>
      <c r="G37" s="418"/>
      <c r="I37" s="94"/>
    </row>
    <row r="38" spans="1:12" s="132" customFormat="1" ht="21" customHeight="1">
      <c r="A38" s="441" t="s">
        <v>280</v>
      </c>
      <c r="B38" s="442"/>
      <c r="C38" s="442"/>
      <c r="D38" s="442"/>
      <c r="E38" s="442"/>
      <c r="F38" s="442"/>
      <c r="G38" s="443"/>
      <c r="H38" s="94"/>
      <c r="I38" s="94"/>
      <c r="J38" s="94"/>
      <c r="K38" s="94"/>
    </row>
    <row r="39" spans="1:12" ht="6" customHeight="1">
      <c r="A39" s="372"/>
      <c r="B39" s="365"/>
      <c r="C39" s="365"/>
      <c r="D39" s="365"/>
      <c r="E39" s="365"/>
      <c r="F39" s="365"/>
      <c r="G39" s="366"/>
    </row>
    <row r="40" spans="1:12" s="94" customFormat="1" ht="18" customHeight="1">
      <c r="A40" s="444" t="s">
        <v>374</v>
      </c>
      <c r="B40" s="445"/>
      <c r="C40" s="445"/>
      <c r="D40" s="445"/>
      <c r="E40" s="445"/>
      <c r="F40" s="445"/>
      <c r="G40" s="446"/>
      <c r="L40" s="132"/>
    </row>
    <row r="41" spans="1:12" s="1" customFormat="1">
      <c r="A41" s="372" t="s">
        <v>327</v>
      </c>
      <c r="B41" s="365"/>
      <c r="C41" s="365"/>
      <c r="D41" s="365"/>
      <c r="E41" s="365"/>
      <c r="F41" s="365"/>
      <c r="G41" s="366"/>
      <c r="L41"/>
    </row>
    <row r="42" spans="1:12" s="1" customFormat="1">
      <c r="A42" s="372" t="s">
        <v>332</v>
      </c>
      <c r="B42" s="365"/>
      <c r="C42" s="365"/>
      <c r="D42" s="365"/>
      <c r="E42" s="365"/>
      <c r="F42" s="365"/>
      <c r="G42" s="366"/>
      <c r="L42"/>
    </row>
    <row r="43" spans="1:12" s="1" customFormat="1">
      <c r="A43" s="450" t="s">
        <v>329</v>
      </c>
      <c r="B43" s="451"/>
      <c r="C43" s="451"/>
      <c r="D43" s="451"/>
      <c r="E43" s="436" t="s">
        <v>358</v>
      </c>
      <c r="F43" s="436"/>
      <c r="G43" s="437"/>
      <c r="L43"/>
    </row>
    <row r="44" spans="1:12" s="1" customFormat="1">
      <c r="A44" s="450" t="s">
        <v>328</v>
      </c>
      <c r="B44" s="451"/>
      <c r="C44" s="451"/>
      <c r="D44" s="451"/>
      <c r="E44" s="436" t="s">
        <v>373</v>
      </c>
      <c r="F44" s="436"/>
      <c r="G44" s="437"/>
      <c r="L44"/>
    </row>
    <row r="45" spans="1:12" s="1" customFormat="1">
      <c r="A45" s="450" t="s">
        <v>330</v>
      </c>
      <c r="B45" s="451"/>
      <c r="C45" s="451"/>
      <c r="D45" s="451"/>
      <c r="E45" s="436" t="s">
        <v>333</v>
      </c>
      <c r="F45" s="436"/>
      <c r="G45" s="437"/>
      <c r="L45"/>
    </row>
    <row r="46" spans="1:12" s="94" customFormat="1">
      <c r="A46" s="230"/>
      <c r="B46" s="231"/>
      <c r="C46" s="231"/>
      <c r="D46" s="231"/>
      <c r="E46" s="232" t="s">
        <v>376</v>
      </c>
      <c r="F46" s="232"/>
      <c r="G46" s="233"/>
      <c r="L46" s="132"/>
    </row>
    <row r="47" spans="1:12" s="1" customFormat="1">
      <c r="A47" s="228"/>
      <c r="B47" s="229"/>
      <c r="C47" s="229"/>
      <c r="D47" s="229"/>
      <c r="E47" s="232" t="s">
        <v>375</v>
      </c>
      <c r="F47" s="229"/>
      <c r="G47" s="199"/>
      <c r="L47"/>
    </row>
    <row r="48" spans="1:12" s="1" customFormat="1">
      <c r="A48" s="372" t="s">
        <v>334</v>
      </c>
      <c r="B48" s="365"/>
      <c r="C48" s="365"/>
      <c r="D48" s="365"/>
      <c r="E48" s="365"/>
      <c r="F48" s="365"/>
      <c r="G48" s="366"/>
      <c r="L48"/>
    </row>
    <row r="49" spans="1:12" s="1" customFormat="1">
      <c r="A49" s="372" t="s">
        <v>335</v>
      </c>
      <c r="B49" s="365"/>
      <c r="C49" s="365"/>
      <c r="D49" s="365"/>
      <c r="E49" s="365"/>
      <c r="F49" s="365"/>
      <c r="G49" s="366"/>
      <c r="L49"/>
    </row>
    <row r="50" spans="1:12" s="82" customFormat="1" ht="8.25" customHeight="1">
      <c r="A50" s="372"/>
      <c r="B50" s="365"/>
      <c r="C50" s="365"/>
      <c r="D50" s="365"/>
      <c r="E50" s="365"/>
      <c r="F50" s="365"/>
      <c r="G50" s="366"/>
      <c r="L50" s="81"/>
    </row>
    <row r="51" spans="1:12" s="82" customFormat="1">
      <c r="A51" s="447" t="s">
        <v>339</v>
      </c>
      <c r="B51" s="448"/>
      <c r="C51" s="448"/>
      <c r="D51" s="448"/>
      <c r="E51" s="448"/>
      <c r="F51" s="448"/>
      <c r="G51" s="449"/>
      <c r="L51" s="81"/>
    </row>
    <row r="52" spans="1:12" s="1" customFormat="1" ht="6.75" customHeight="1">
      <c r="A52" s="406"/>
      <c r="B52" s="368"/>
      <c r="C52" s="368"/>
      <c r="D52" s="368"/>
      <c r="E52" s="368"/>
      <c r="F52" s="368"/>
      <c r="G52" s="369"/>
      <c r="L52"/>
    </row>
    <row r="53" spans="1:12" s="1" customFormat="1" ht="21">
      <c r="A53" s="57" t="s">
        <v>31</v>
      </c>
      <c r="B53" s="58">
        <f>$B$1</f>
        <v>3</v>
      </c>
      <c r="C53" s="59" t="s">
        <v>39</v>
      </c>
      <c r="D53" s="60" t="str">
        <f>$E$1</f>
        <v>遭遇毎</v>
      </c>
      <c r="E53" s="438" t="str">
        <f>$B$2</f>
        <v>ロー・スラッシュ</v>
      </c>
      <c r="F53" s="439"/>
      <c r="G53" s="440"/>
      <c r="L53"/>
    </row>
  </sheetData>
  <mergeCells count="54">
    <mergeCell ref="J10:K10"/>
    <mergeCell ref="B11:G11"/>
    <mergeCell ref="J12:K12"/>
    <mergeCell ref="A22:A23"/>
    <mergeCell ref="A24:G24"/>
    <mergeCell ref="B12:G12"/>
    <mergeCell ref="B13:G13"/>
    <mergeCell ref="B14:G14"/>
    <mergeCell ref="B15:G15"/>
    <mergeCell ref="A19:B19"/>
    <mergeCell ref="A20:A21"/>
    <mergeCell ref="H20:J20"/>
    <mergeCell ref="A17:C18"/>
    <mergeCell ref="E17:G17"/>
    <mergeCell ref="B1:C1"/>
    <mergeCell ref="F1:G1"/>
    <mergeCell ref="B2:G2"/>
    <mergeCell ref="B5:G5"/>
    <mergeCell ref="B4:G4"/>
    <mergeCell ref="B6:D6"/>
    <mergeCell ref="B7:D7"/>
    <mergeCell ref="B8:G8"/>
    <mergeCell ref="B9:G9"/>
    <mergeCell ref="B10:G10"/>
    <mergeCell ref="E44:G44"/>
    <mergeCell ref="A36:G36"/>
    <mergeCell ref="A37:G37"/>
    <mergeCell ref="A25:G25"/>
    <mergeCell ref="A26:G26"/>
    <mergeCell ref="A33:G33"/>
    <mergeCell ref="A34:G34"/>
    <mergeCell ref="A35:G35"/>
    <mergeCell ref="A27:G27"/>
    <mergeCell ref="A28:G28"/>
    <mergeCell ref="A29:G29"/>
    <mergeCell ref="A30:G30"/>
    <mergeCell ref="A31:G31"/>
    <mergeCell ref="A32:G32"/>
    <mergeCell ref="E45:G45"/>
    <mergeCell ref="E53:G53"/>
    <mergeCell ref="A41:G41"/>
    <mergeCell ref="A38:G38"/>
    <mergeCell ref="A39:G39"/>
    <mergeCell ref="A40:G40"/>
    <mergeCell ref="A42:G42"/>
    <mergeCell ref="A48:G48"/>
    <mergeCell ref="A49:G49"/>
    <mergeCell ref="A50:G50"/>
    <mergeCell ref="A51:G51"/>
    <mergeCell ref="A52:G52"/>
    <mergeCell ref="A43:D43"/>
    <mergeCell ref="A44:D44"/>
    <mergeCell ref="A45:D45"/>
    <mergeCell ref="E43:G43"/>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基本!$A$5:$A$10</xm:f>
          </x14:formula1>
          <xm:sqref>I11 I9</xm:sqref>
        </x14:dataValidation>
        <x14:dataValidation type="list" allowBlank="1" showInputMessage="1" showErrorMessage="1">
          <x14:formula1>
            <xm:f>基本!$C$25:$C$35</xm:f>
          </x14:formula1>
          <xm:sqref>I15</xm:sqref>
        </x14:dataValidation>
        <x14:dataValidation type="list" allowBlank="1" showInputMessage="1" showErrorMessage="1">
          <x14:formula1>
            <xm:f>基本!$D$25:$D$29</xm:f>
          </x14:formula1>
          <xm:sqref>I8</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4"/>
  <sheetViews>
    <sheetView zoomScaleNormal="100"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3" ht="21">
      <c r="A1" s="61" t="s">
        <v>98</v>
      </c>
      <c r="B1" s="455">
        <v>7</v>
      </c>
      <c r="C1" s="456"/>
      <c r="D1" s="62" t="s">
        <v>39</v>
      </c>
      <c r="E1" s="63" t="s">
        <v>56</v>
      </c>
      <c r="F1" s="457"/>
      <c r="G1" s="458"/>
      <c r="H1" s="15" t="s">
        <v>54</v>
      </c>
    </row>
    <row r="2" spans="1:13" ht="24.75" customHeight="1">
      <c r="A2" s="62" t="s">
        <v>0</v>
      </c>
      <c r="B2" s="459" t="s">
        <v>186</v>
      </c>
      <c r="C2" s="459"/>
      <c r="D2" s="459"/>
      <c r="E2" s="459"/>
      <c r="F2" s="459"/>
      <c r="G2" s="459"/>
      <c r="H2" s="15" t="s">
        <v>55</v>
      </c>
    </row>
    <row r="3" spans="1:13" ht="19.5" customHeight="1">
      <c r="A3" s="45" t="s">
        <v>47</v>
      </c>
      <c r="B3" s="1"/>
      <c r="C3" s="1"/>
      <c r="D3" s="1"/>
      <c r="I3" s="15"/>
    </row>
    <row r="4" spans="1:13">
      <c r="A4" s="16" t="s">
        <v>45</v>
      </c>
      <c r="B4" s="397" t="s">
        <v>187</v>
      </c>
      <c r="C4" s="398"/>
      <c r="D4" s="398"/>
      <c r="E4" s="398"/>
      <c r="F4" s="398"/>
      <c r="G4" s="399"/>
    </row>
    <row r="5" spans="1:13">
      <c r="A5" s="17" t="s">
        <v>38</v>
      </c>
      <c r="B5" s="397" t="s">
        <v>159</v>
      </c>
      <c r="C5" s="398"/>
      <c r="D5" s="398"/>
      <c r="E5" s="398"/>
      <c r="F5" s="398"/>
      <c r="G5" s="399"/>
    </row>
    <row r="6" spans="1:13">
      <c r="A6" s="17" t="s">
        <v>6</v>
      </c>
      <c r="B6" s="397" t="s">
        <v>4</v>
      </c>
      <c r="C6" s="398"/>
      <c r="D6" s="399"/>
      <c r="E6" s="149" t="s">
        <v>42</v>
      </c>
      <c r="F6" s="216" t="str">
        <f>$I$6</f>
        <v>近接or遠隔</v>
      </c>
      <c r="G6" s="148" t="str">
        <f>$J$6</f>
        <v>武器</v>
      </c>
      <c r="H6" s="65" t="s">
        <v>42</v>
      </c>
      <c r="I6" s="142" t="s">
        <v>176</v>
      </c>
      <c r="J6" s="66" t="s">
        <v>161</v>
      </c>
    </row>
    <row r="7" spans="1:13">
      <c r="A7" s="18" t="s">
        <v>5</v>
      </c>
      <c r="B7" s="397" t="s">
        <v>94</v>
      </c>
      <c r="C7" s="398"/>
      <c r="D7" s="399"/>
      <c r="E7" s="149" t="s">
        <v>67</v>
      </c>
      <c r="F7" s="148" t="str">
        <f>IF($I$7 = 0,"", $I$7)</f>
        <v/>
      </c>
      <c r="G7" s="148" t="str">
        <f>IF($J$7 = 0,"", $J$7)</f>
        <v/>
      </c>
      <c r="H7" s="65" t="s">
        <v>67</v>
      </c>
      <c r="I7" s="121"/>
      <c r="J7" s="66"/>
    </row>
    <row r="8" spans="1:13">
      <c r="A8" s="105" t="s">
        <v>62</v>
      </c>
      <c r="B8" s="485" t="s">
        <v>340</v>
      </c>
      <c r="C8" s="486"/>
      <c r="D8" s="486"/>
      <c r="E8" s="486"/>
      <c r="F8" s="486"/>
      <c r="G8" s="487"/>
      <c r="H8" s="65" t="s">
        <v>87</v>
      </c>
      <c r="I8" s="66" t="s">
        <v>124</v>
      </c>
      <c r="J8" s="15" t="s">
        <v>63</v>
      </c>
    </row>
    <row r="9" spans="1:13">
      <c r="A9" s="106"/>
      <c r="B9" s="367" t="s">
        <v>190</v>
      </c>
      <c r="C9" s="488"/>
      <c r="D9" s="488"/>
      <c r="E9" s="488"/>
      <c r="F9" s="488"/>
      <c r="G9" s="489"/>
      <c r="H9" s="65" t="s">
        <v>50</v>
      </c>
      <c r="I9" s="66" t="s">
        <v>13</v>
      </c>
      <c r="J9" s="64">
        <f>IF($I$9 = "筋力",基本!$C$5,IF($I$9 = "耐久力",基本!$C$6,IF($I$9 = "敏捷力",基本!$C$7,IF($I$9 = "知力",基本!$C$8,IF($I$9 = "判断力",基本!$C$9,IF($I$9 = "魅力",基本!$C$10,""))))))</f>
        <v>6</v>
      </c>
      <c r="K9" s="79" t="s">
        <v>96</v>
      </c>
    </row>
    <row r="10" spans="1:13">
      <c r="A10" s="103" t="s">
        <v>7</v>
      </c>
      <c r="B10" s="397" t="s">
        <v>171</v>
      </c>
      <c r="C10" s="398"/>
      <c r="D10" s="398"/>
      <c r="E10" s="398"/>
      <c r="F10" s="398"/>
      <c r="G10" s="399"/>
      <c r="H10" s="65" t="s">
        <v>59</v>
      </c>
      <c r="I10" s="66">
        <v>0</v>
      </c>
      <c r="J10" s="296" t="s">
        <v>52</v>
      </c>
      <c r="K10" s="297"/>
      <c r="L10" s="64">
        <f>IF($I$8=基本!$F$4,基本!$O$7,IF($I$8=基本!$F$13,基本!$O$16,IF($I$8=基本!$F$22,基本!$O$25,IF($I$8=基本!$F$31,基本!$O$34,IF($I$8=基本!$F$40,基本!$O$43,0)))))</f>
        <v>17</v>
      </c>
    </row>
    <row r="11" spans="1:13">
      <c r="A11" s="105" t="s">
        <v>8</v>
      </c>
      <c r="B11" s="400" t="s">
        <v>188</v>
      </c>
      <c r="C11" s="401"/>
      <c r="D11" s="401"/>
      <c r="E11" s="401"/>
      <c r="F11" s="401"/>
      <c r="G11" s="402"/>
      <c r="H11" s="43" t="s">
        <v>51</v>
      </c>
      <c r="I11" s="66" t="s">
        <v>13</v>
      </c>
      <c r="J11" s="42">
        <f>IF($I$9 = "筋力",基本!$C$5,IF($I$11 = "耐久力",基本!$C$6,IF($I$11 = "敏捷力",基本!$C$7,IF($I$11 = "知力",基本!$C$8,IF($I$11 = "判断力",基本!$C$9,IF($I$11 = "魅力",基本!$C$10,""))))))</f>
        <v>6</v>
      </c>
      <c r="L11" s="1"/>
    </row>
    <row r="12" spans="1:13">
      <c r="A12" s="19"/>
      <c r="B12" s="473" t="s">
        <v>341</v>
      </c>
      <c r="C12" s="474"/>
      <c r="D12" s="474"/>
      <c r="E12" s="474"/>
      <c r="F12" s="474"/>
      <c r="G12" s="475"/>
      <c r="H12" s="65" t="s">
        <v>60</v>
      </c>
      <c r="I12" s="66">
        <v>0</v>
      </c>
      <c r="J12" s="296" t="s">
        <v>53</v>
      </c>
      <c r="K12" s="297"/>
      <c r="L12" s="64">
        <f>IF($I$8=基本!$F$4,基本!$O$9,IF($I$8=基本!$F$13,基本!$O$18,IF($I$8=基本!$F$22,基本!$O$27,IF($I$8=基本!$F$31,基本!$O$36,IF($I$8=基本!$F$40,基本!$O$45,0)))))</f>
        <v>6</v>
      </c>
    </row>
    <row r="13" spans="1:13">
      <c r="A13" s="19"/>
      <c r="B13" s="364" t="s">
        <v>191</v>
      </c>
      <c r="C13" s="365"/>
      <c r="D13" s="365"/>
      <c r="E13" s="365"/>
      <c r="F13" s="365"/>
      <c r="G13" s="366"/>
      <c r="H13" s="44" t="s">
        <v>88</v>
      </c>
      <c r="I13" s="66">
        <v>1</v>
      </c>
      <c r="J13" s="65" t="s">
        <v>43</v>
      </c>
      <c r="K13" s="66">
        <v>4</v>
      </c>
      <c r="L13" s="137">
        <v>6</v>
      </c>
      <c r="M13" s="147" t="s">
        <v>166</v>
      </c>
    </row>
    <row r="14" spans="1:13">
      <c r="A14" s="19"/>
      <c r="B14" s="473" t="s">
        <v>189</v>
      </c>
      <c r="C14" s="474"/>
      <c r="D14" s="474"/>
      <c r="E14" s="474"/>
      <c r="F14" s="474"/>
      <c r="G14" s="475"/>
      <c r="H14" s="65" t="s">
        <v>49</v>
      </c>
      <c r="I14" s="66">
        <v>4</v>
      </c>
      <c r="J14" s="65" t="s">
        <v>43</v>
      </c>
      <c r="K14" s="66">
        <v>12</v>
      </c>
    </row>
    <row r="15" spans="1:13" ht="18.75">
      <c r="A15" s="21"/>
      <c r="B15" s="482" t="str">
        <f>"　　　　　　　　　　　　"&amp;"この攻撃の前後に" &amp; 基本!$C$10+1 &amp; "マスシフト可"</f>
        <v>　　　　　　　　　　　　この攻撃の前後に6マスシフト可</v>
      </c>
      <c r="C15" s="483"/>
      <c r="D15" s="483"/>
      <c r="E15" s="483"/>
      <c r="F15" s="483"/>
      <c r="G15" s="484"/>
      <c r="H15" s="65" t="s">
        <v>61</v>
      </c>
      <c r="I15" s="66"/>
    </row>
    <row r="16" spans="1:13" ht="14.25" thickBot="1">
      <c r="A16" s="14" t="s">
        <v>46</v>
      </c>
      <c r="E16" s="3"/>
      <c r="H16" s="77" t="s">
        <v>130</v>
      </c>
      <c r="I16" s="119">
        <f>基本!$B$21</f>
        <v>3</v>
      </c>
      <c r="J16" s="77" t="s">
        <v>43</v>
      </c>
      <c r="K16" s="119">
        <f>基本!$D$21</f>
        <v>8</v>
      </c>
      <c r="L16" s="132"/>
    </row>
    <row r="17" spans="1:11" s="132" customFormat="1" ht="13.5" customHeight="1">
      <c r="A17" s="467" t="str">
        <f>$B$2</f>
        <v>フロム・ザ・シャドウズ</v>
      </c>
      <c r="B17" s="468"/>
      <c r="C17" s="469"/>
      <c r="D17" s="182" t="s">
        <v>244</v>
      </c>
      <c r="E17" s="385" t="s">
        <v>243</v>
      </c>
      <c r="F17" s="387"/>
      <c r="H17" s="138" t="s">
        <v>167</v>
      </c>
      <c r="I17" s="119">
        <f>基本!$B$23</f>
        <v>1</v>
      </c>
      <c r="J17" s="139" t="s">
        <v>43</v>
      </c>
      <c r="K17" s="119">
        <f>基本!$D$23</f>
        <v>10</v>
      </c>
    </row>
    <row r="18" spans="1:11" s="132" customFormat="1" ht="18.75" customHeight="1" thickBot="1">
      <c r="A18" s="470"/>
      <c r="B18" s="471"/>
      <c r="C18" s="472"/>
      <c r="D18" s="163" t="s">
        <v>240</v>
      </c>
      <c r="E18" s="164" t="s">
        <v>239</v>
      </c>
      <c r="F18" s="183" t="s">
        <v>241</v>
      </c>
      <c r="H18" s="159"/>
      <c r="I18" s="160"/>
      <c r="J18" s="161"/>
      <c r="K18" s="160"/>
    </row>
    <row r="19" spans="1:11" ht="23.25" customHeight="1" thickBot="1">
      <c r="A19" s="428" t="s">
        <v>41</v>
      </c>
      <c r="B19" s="429"/>
      <c r="C19" s="184" t="str">
        <f>$K$9</f>
        <v>ＡＣ</v>
      </c>
      <c r="D19" s="177" t="str">
        <f>$J$9+$L$10+$I$10 &amp; "+1d20"&amp;"☆"</f>
        <v>23+1d20☆</v>
      </c>
      <c r="E19" s="178" t="str">
        <f>$J$9+$L$10+2+$I$10 &amp; "+1d20"&amp;"☆"</f>
        <v>25+1d20☆</v>
      </c>
      <c r="F19" s="179" t="str">
        <f>$J$9+$L$10+2+$I$10 &amp; "+1d20"&amp;"☆"</f>
        <v>25+1d20☆</v>
      </c>
      <c r="G19"/>
      <c r="H19"/>
      <c r="I19"/>
      <c r="J19"/>
      <c r="K19"/>
    </row>
    <row r="20" spans="1:11" ht="23.25" customHeight="1">
      <c r="A20" s="388" t="s">
        <v>1</v>
      </c>
      <c r="B20" s="171" t="s">
        <v>3</v>
      </c>
      <c r="C20" s="172" t="str">
        <f>IF($I$15 = 0,"", $I$15)</f>
        <v/>
      </c>
      <c r="D20" s="173" t="str">
        <f>$J$11+$L$12+$I$12 &amp; "+" &amp; $I$13 &amp; "d" &amp; $K$13</f>
        <v>12+1d4</v>
      </c>
      <c r="E20" s="174" t="str">
        <f>$J$11+$L$12+$I$12+2 &amp; "+" &amp; $I$13 &amp; "d" &amp; $K$13</f>
        <v>14+1d4</v>
      </c>
      <c r="F20" s="175" t="str">
        <f>$J$11+$L$12+$I$12+2 &amp; "+" &amp; $I$13 &amp; "d" &amp; $K$13 &amp; "+" &amp; $I$16 &amp; "d" &amp; $K$16</f>
        <v>14+1d4+3d8</v>
      </c>
      <c r="G20"/>
      <c r="H20"/>
      <c r="I20"/>
      <c r="J20"/>
      <c r="K20"/>
    </row>
    <row r="21" spans="1:11" ht="23.25" customHeight="1" thickBot="1">
      <c r="A21" s="389"/>
      <c r="B21" s="92" t="s">
        <v>2</v>
      </c>
      <c r="C21" s="87" t="str">
        <f>IF($I$15 = 0,"", $I$15)</f>
        <v/>
      </c>
      <c r="D21" s="88" t="str">
        <f>$J$11+$L$12+$I$12+($I$13*$K$13) &amp; IF($I$14 = 0,"","+" &amp; $I$14 &amp; "d" &amp; $K$14) &amp; IF($I$17 = 0,"","+" &amp; $I$17 &amp; "d" &amp; $K$17) &amp;"★"</f>
        <v>16+4d12+1d10★</v>
      </c>
      <c r="E21" s="151" t="str">
        <f>$J$11+$L$12+$I$12+2+($I$13*$K$13)&amp; IF($I$14 = 0,"","+" &amp; $I$14 &amp; "d" &amp; $K$14) &amp; IF($I$17 = 0,"","+" &amp; $I$17 &amp; "d" &amp; $K$17) &amp;"★"</f>
        <v>18+4d12+1d10★</v>
      </c>
      <c r="F21" s="89" t="str">
        <f>$J$11+$L$12+$I$12+2+($I$13*$K$13)+($I$16*$K$16) &amp; IF($I$14 = 0,"","+" &amp; $I$14 &amp; "d" &amp; $K$14) &amp; IF($I$17 = 0,"","+" &amp; $I$17 &amp; "d" &amp; $K$17) &amp;"★"</f>
        <v>42+4d12+1d10★</v>
      </c>
      <c r="G21"/>
      <c r="H21"/>
      <c r="I21"/>
      <c r="J21"/>
      <c r="K21"/>
    </row>
    <row r="22" spans="1:11" s="132" customFormat="1" ht="23.25" customHeight="1">
      <c r="A22" s="370" t="str">
        <f>汎12!$B$2</f>
        <v>メディティション・オヴ・ザ・ブレード</v>
      </c>
      <c r="B22" s="136" t="s">
        <v>3</v>
      </c>
      <c r="C22" s="86" t="str">
        <f>IF($I$15 = 0,"", $I$15)</f>
        <v/>
      </c>
      <c r="D22" s="90" t="str">
        <f>$J$11+$L$12+$I$12 &amp; "+" &amp; $I$13 &amp; "d" &amp; $L$13</f>
        <v>12+1d6</v>
      </c>
      <c r="E22" s="150" t="str">
        <f>$J$11+$L$12+$I$12+2 &amp;  "+" &amp; $I$13 &amp; "d" &amp; $L$13</f>
        <v>14+1d6</v>
      </c>
      <c r="F22" s="91" t="str">
        <f>$J$11+$L$12+$I$12+2 &amp; "+" &amp; $I$13 &amp; "d" &amp; $L$13 &amp; "+" &amp; $I$16 &amp; "d" &amp; $K$16</f>
        <v>14+1d6+3d8</v>
      </c>
    </row>
    <row r="23" spans="1:11" s="132" customFormat="1" ht="23.25" customHeight="1" thickBot="1">
      <c r="A23" s="371"/>
      <c r="B23" s="92" t="s">
        <v>2</v>
      </c>
      <c r="C23" s="87" t="str">
        <f>IF($I$15 = 0,"", $I$15)</f>
        <v/>
      </c>
      <c r="D23" s="88" t="str">
        <f>$J$11+$L$12+$I$12+($I$13*$L$13) &amp; IF($I$14 = 0,"","+" &amp; $I$14 &amp; "d" &amp; $K$14) &amp; IF($I$17 = 0,"","+" &amp; $I$17 &amp; "d" &amp; $K$17) &amp;"★"</f>
        <v>18+4d12+1d10★</v>
      </c>
      <c r="E23" s="151" t="str">
        <f>$J$11+$L$12+$I$12+2+($I$13*$L$13)&amp; IF($I$14 = 0,"","+" &amp; $I$14 &amp; "d" &amp; $K$14) &amp; IF($I$17 = 0,"","+" &amp; $I$17 &amp; "d" &amp; $K$17) &amp;"★"</f>
        <v>20+4d12+1d10★</v>
      </c>
      <c r="F23" s="89" t="str">
        <f>$J$11+$L$12+$I$12+2+($I$13*$L$13)+($I$16*$K$16) &amp; IF($I$14 = 0,"","+" &amp; $I$14 &amp; "d" &amp; $K$14) &amp; IF($I$17 = 0,"","+" &amp; $I$17 &amp; "d" &amp; $K$17) &amp;"★"</f>
        <v>44+4d12+1d10★</v>
      </c>
    </row>
    <row r="24" spans="1:11" s="132" customFormat="1" ht="19.5" customHeight="1">
      <c r="A24" s="360" t="s">
        <v>170</v>
      </c>
      <c r="B24" s="360"/>
      <c r="C24" s="360"/>
      <c r="D24" s="360"/>
      <c r="E24" s="360"/>
      <c r="F24" s="360"/>
      <c r="G24" s="360"/>
      <c r="H24" s="94"/>
    </row>
    <row r="25" spans="1:11" s="132" customFormat="1" ht="13.5" customHeight="1">
      <c r="A25" s="361" t="s">
        <v>173</v>
      </c>
      <c r="B25" s="361"/>
      <c r="C25" s="361"/>
      <c r="D25" s="361"/>
      <c r="E25" s="361"/>
      <c r="F25" s="361"/>
      <c r="G25" s="361"/>
      <c r="H25" s="94"/>
      <c r="I25" s="94"/>
      <c r="J25" s="94"/>
      <c r="K25" s="94"/>
    </row>
    <row r="26" spans="1:11" s="132" customFormat="1" ht="13.5" customHeight="1">
      <c r="A26" s="362" t="s">
        <v>174</v>
      </c>
      <c r="B26" s="362"/>
      <c r="C26" s="362"/>
      <c r="D26" s="362"/>
      <c r="E26" s="362"/>
      <c r="F26" s="362"/>
      <c r="G26" s="362"/>
      <c r="H26" s="94"/>
    </row>
    <row r="27" spans="1:11" s="132" customFormat="1" ht="19.5" customHeight="1">
      <c r="A27" s="360" t="s">
        <v>235</v>
      </c>
      <c r="B27" s="360"/>
      <c r="C27" s="360"/>
      <c r="D27" s="360"/>
      <c r="E27" s="360"/>
      <c r="F27" s="360"/>
      <c r="G27" s="360"/>
      <c r="H27" s="94"/>
    </row>
    <row r="28" spans="1:11" s="132" customFormat="1" ht="13.5" customHeight="1">
      <c r="A28" s="361" t="s">
        <v>236</v>
      </c>
      <c r="B28" s="361"/>
      <c r="C28" s="361"/>
      <c r="D28" s="361"/>
      <c r="E28" s="361"/>
      <c r="F28" s="361"/>
      <c r="G28" s="361"/>
      <c r="H28" s="94"/>
      <c r="I28" s="94"/>
      <c r="J28" s="94"/>
      <c r="K28" s="94"/>
    </row>
    <row r="29" spans="1:11" s="132" customFormat="1" ht="13.5" customHeight="1">
      <c r="A29" s="361" t="s">
        <v>237</v>
      </c>
      <c r="B29" s="361"/>
      <c r="C29" s="361"/>
      <c r="D29" s="361"/>
      <c r="E29" s="361"/>
      <c r="F29" s="361"/>
      <c r="G29" s="361"/>
      <c r="H29" s="94"/>
      <c r="I29" s="94"/>
      <c r="J29" s="94"/>
      <c r="K29" s="94"/>
    </row>
    <row r="30" spans="1:11" s="132" customFormat="1" ht="19.5" customHeight="1">
      <c r="A30" s="360" t="s">
        <v>498</v>
      </c>
      <c r="B30" s="360"/>
      <c r="C30" s="360"/>
      <c r="D30" s="360"/>
      <c r="E30" s="360"/>
      <c r="F30" s="360"/>
      <c r="G30" s="360"/>
      <c r="H30" s="94"/>
    </row>
    <row r="31" spans="1:11" s="132" customFormat="1" ht="13.5" customHeight="1">
      <c r="A31" s="361" t="s">
        <v>496</v>
      </c>
      <c r="B31" s="361"/>
      <c r="C31" s="361"/>
      <c r="D31" s="361"/>
      <c r="E31" s="361"/>
      <c r="F31" s="361"/>
      <c r="G31" s="361"/>
      <c r="H31" s="94"/>
      <c r="I31" s="94"/>
      <c r="J31" s="94"/>
      <c r="K31" s="94"/>
    </row>
    <row r="32" spans="1:11" s="132" customFormat="1" ht="13.5" customHeight="1">
      <c r="A32" s="363" t="s">
        <v>497</v>
      </c>
      <c r="B32" s="363"/>
      <c r="C32" s="363"/>
      <c r="D32" s="363"/>
      <c r="E32" s="363"/>
      <c r="F32" s="363"/>
      <c r="G32" s="363"/>
      <c r="H32" s="94"/>
    </row>
    <row r="33" spans="1:12" s="132" customFormat="1" ht="19.5" customHeight="1">
      <c r="A33" s="360" t="s">
        <v>515</v>
      </c>
      <c r="B33" s="360"/>
      <c r="C33" s="360"/>
      <c r="D33" s="360"/>
      <c r="E33" s="360"/>
      <c r="F33" s="360"/>
      <c r="G33" s="360"/>
      <c r="H33" s="94"/>
    </row>
    <row r="34" spans="1:12" s="132" customFormat="1" ht="13.5" customHeight="1">
      <c r="A34" s="361" t="s">
        <v>201</v>
      </c>
      <c r="B34" s="361"/>
      <c r="C34" s="361"/>
      <c r="D34" s="361"/>
      <c r="E34" s="361"/>
      <c r="F34" s="361"/>
      <c r="G34" s="361"/>
      <c r="H34" s="94"/>
      <c r="I34" s="94"/>
      <c r="J34" s="94"/>
      <c r="K34" s="94"/>
    </row>
    <row r="35" spans="1:12" s="132" customFormat="1" ht="13.5" customHeight="1">
      <c r="A35" s="362" t="s">
        <v>175</v>
      </c>
      <c r="B35" s="362"/>
      <c r="C35" s="362"/>
      <c r="D35" s="362"/>
      <c r="E35" s="362"/>
      <c r="F35" s="362"/>
      <c r="G35" s="362"/>
      <c r="H35" s="94"/>
    </row>
    <row r="36" spans="1:12">
      <c r="A36" s="50"/>
      <c r="B36" s="50"/>
      <c r="C36" s="50"/>
      <c r="D36" s="50"/>
      <c r="E36" s="50"/>
      <c r="F36" s="50"/>
      <c r="G36" s="50"/>
    </row>
    <row r="37" spans="1:12">
      <c r="A37" s="416" t="s">
        <v>48</v>
      </c>
      <c r="B37" s="417"/>
      <c r="C37" s="417"/>
      <c r="D37" s="417"/>
      <c r="E37" s="417"/>
      <c r="F37" s="417"/>
      <c r="G37" s="418"/>
    </row>
    <row r="38" spans="1:12" s="1" customFormat="1" ht="5.25" customHeight="1">
      <c r="A38" s="372"/>
      <c r="B38" s="365"/>
      <c r="C38" s="365"/>
      <c r="D38" s="365"/>
      <c r="E38" s="365"/>
      <c r="F38" s="365"/>
      <c r="G38" s="366"/>
      <c r="L38"/>
    </row>
    <row r="39" spans="1:12" s="1" customFormat="1" ht="17.25">
      <c r="A39" s="476" t="s">
        <v>357</v>
      </c>
      <c r="B39" s="477"/>
      <c r="C39" s="477"/>
      <c r="D39" s="477"/>
      <c r="E39" s="477"/>
      <c r="F39" s="477"/>
      <c r="G39" s="478"/>
      <c r="L39"/>
    </row>
    <row r="40" spans="1:12" s="1" customFormat="1" ht="6" customHeight="1">
      <c r="A40" s="372"/>
      <c r="B40" s="365"/>
      <c r="C40" s="365"/>
      <c r="D40" s="365"/>
      <c r="E40" s="365"/>
      <c r="F40" s="365"/>
      <c r="G40" s="366"/>
      <c r="L40"/>
    </row>
    <row r="41" spans="1:12" s="1" customFormat="1">
      <c r="A41" s="479" t="s">
        <v>377</v>
      </c>
      <c r="B41" s="480"/>
      <c r="C41" s="480"/>
      <c r="D41" s="480"/>
      <c r="E41" s="480"/>
      <c r="F41" s="480"/>
      <c r="G41" s="481"/>
      <c r="L41"/>
    </row>
    <row r="42" spans="1:12" s="1" customFormat="1">
      <c r="A42" s="372" t="s">
        <v>378</v>
      </c>
      <c r="B42" s="365"/>
      <c r="C42" s="365"/>
      <c r="D42" s="365"/>
      <c r="E42" s="365"/>
      <c r="F42" s="365"/>
      <c r="G42" s="366"/>
      <c r="L42"/>
    </row>
    <row r="43" spans="1:12" s="94" customFormat="1">
      <c r="A43" s="225"/>
      <c r="B43" s="226"/>
      <c r="C43" s="226"/>
      <c r="D43" s="226"/>
      <c r="E43" s="226"/>
      <c r="F43" s="226"/>
      <c r="G43" s="227"/>
      <c r="L43" s="132"/>
    </row>
    <row r="44" spans="1:12" s="1" customFormat="1">
      <c r="A44" s="479" t="s">
        <v>360</v>
      </c>
      <c r="B44" s="480"/>
      <c r="C44" s="480"/>
      <c r="D44" s="480"/>
      <c r="E44" s="480"/>
      <c r="F44" s="480"/>
      <c r="G44" s="481"/>
      <c r="L44"/>
    </row>
    <row r="45" spans="1:12" s="1" customFormat="1">
      <c r="A45" s="372" t="s">
        <v>361</v>
      </c>
      <c r="B45" s="365"/>
      <c r="C45" s="365"/>
      <c r="D45" s="365"/>
      <c r="E45" s="365"/>
      <c r="F45" s="365"/>
      <c r="G45" s="366"/>
      <c r="L45"/>
    </row>
    <row r="46" spans="1:12" s="94" customFormat="1">
      <c r="A46" s="225"/>
      <c r="B46" s="226"/>
      <c r="C46" s="226"/>
      <c r="D46" s="226"/>
      <c r="E46" s="226"/>
      <c r="F46" s="226"/>
      <c r="G46" s="227"/>
      <c r="L46" s="132"/>
    </row>
    <row r="47" spans="1:12" s="1" customFormat="1">
      <c r="A47" s="479" t="s">
        <v>362</v>
      </c>
      <c r="B47" s="480"/>
      <c r="C47" s="480"/>
      <c r="D47" s="480"/>
      <c r="E47" s="480"/>
      <c r="F47" s="480"/>
      <c r="G47" s="481"/>
      <c r="L47"/>
    </row>
    <row r="48" spans="1:12" s="1" customFormat="1">
      <c r="A48" s="372" t="s">
        <v>379</v>
      </c>
      <c r="B48" s="365"/>
      <c r="C48" s="365"/>
      <c r="D48" s="365"/>
      <c r="E48" s="365"/>
      <c r="F48" s="365"/>
      <c r="G48" s="366"/>
      <c r="L48"/>
    </row>
    <row r="49" spans="1:12" s="94" customFormat="1">
      <c r="A49" s="225"/>
      <c r="B49" s="226"/>
      <c r="C49" s="226"/>
      <c r="D49" s="226"/>
      <c r="E49" s="226"/>
      <c r="F49" s="226"/>
      <c r="G49" s="227"/>
      <c r="L49" s="132"/>
    </row>
    <row r="50" spans="1:12" s="1" customFormat="1">
      <c r="A50" s="479" t="s">
        <v>380</v>
      </c>
      <c r="B50" s="480"/>
      <c r="C50" s="480"/>
      <c r="D50" s="480"/>
      <c r="E50" s="480"/>
      <c r="F50" s="480"/>
      <c r="G50" s="481"/>
      <c r="L50"/>
    </row>
    <row r="51" spans="1:12" s="82" customFormat="1">
      <c r="A51" s="372" t="s">
        <v>393</v>
      </c>
      <c r="B51" s="365"/>
      <c r="C51" s="365"/>
      <c r="D51" s="365"/>
      <c r="E51" s="365"/>
      <c r="F51" s="365"/>
      <c r="G51" s="366"/>
      <c r="L51" s="81"/>
    </row>
    <row r="52" spans="1:12" s="82" customFormat="1">
      <c r="A52" s="372" t="s">
        <v>381</v>
      </c>
      <c r="B52" s="365"/>
      <c r="C52" s="365"/>
      <c r="D52" s="365"/>
      <c r="E52" s="365"/>
      <c r="F52" s="365"/>
      <c r="G52" s="366"/>
      <c r="L52" s="81"/>
    </row>
    <row r="53" spans="1:12" ht="7.5" customHeight="1">
      <c r="A53" s="406"/>
      <c r="B53" s="368"/>
      <c r="C53" s="368"/>
      <c r="D53" s="368"/>
      <c r="E53" s="368"/>
      <c r="F53" s="368"/>
      <c r="G53" s="369"/>
    </row>
    <row r="54" spans="1:12" ht="21">
      <c r="A54" s="57" t="s">
        <v>31</v>
      </c>
      <c r="B54" s="58">
        <f>$B$1</f>
        <v>7</v>
      </c>
      <c r="C54" s="59" t="s">
        <v>39</v>
      </c>
      <c r="D54" s="60" t="str">
        <f>$E$1</f>
        <v>遭遇毎</v>
      </c>
      <c r="E54" s="438" t="str">
        <f>$B$2</f>
        <v>フロム・ザ・シャドウズ</v>
      </c>
      <c r="F54" s="439"/>
      <c r="G54" s="440"/>
    </row>
  </sheetData>
  <mergeCells count="49">
    <mergeCell ref="A52:G52"/>
    <mergeCell ref="A51:G51"/>
    <mergeCell ref="A44:G44"/>
    <mergeCell ref="A48:G48"/>
    <mergeCell ref="A45:G45"/>
    <mergeCell ref="A47:G47"/>
    <mergeCell ref="A50:G50"/>
    <mergeCell ref="E54:G54"/>
    <mergeCell ref="A53:G53"/>
    <mergeCell ref="A17:C18"/>
    <mergeCell ref="E17:F17"/>
    <mergeCell ref="B6:D6"/>
    <mergeCell ref="B7:D7"/>
    <mergeCell ref="B10:G10"/>
    <mergeCell ref="B14:G14"/>
    <mergeCell ref="B15:G15"/>
    <mergeCell ref="B8:G8"/>
    <mergeCell ref="B9:G9"/>
    <mergeCell ref="A22:A23"/>
    <mergeCell ref="A24:G24"/>
    <mergeCell ref="A25:G25"/>
    <mergeCell ref="A19:B19"/>
    <mergeCell ref="A20:A21"/>
    <mergeCell ref="A26:G26"/>
    <mergeCell ref="A33:G33"/>
    <mergeCell ref="A34:G34"/>
    <mergeCell ref="A35:G35"/>
    <mergeCell ref="A42:G42"/>
    <mergeCell ref="A27:G27"/>
    <mergeCell ref="A28:G28"/>
    <mergeCell ref="A29:G29"/>
    <mergeCell ref="A37:G37"/>
    <mergeCell ref="A38:G38"/>
    <mergeCell ref="A39:G39"/>
    <mergeCell ref="A40:G40"/>
    <mergeCell ref="A41:G41"/>
    <mergeCell ref="A30:G30"/>
    <mergeCell ref="A31:G31"/>
    <mergeCell ref="A32:G32"/>
    <mergeCell ref="B1:C1"/>
    <mergeCell ref="F1:G1"/>
    <mergeCell ref="B2:G2"/>
    <mergeCell ref="B4:G4"/>
    <mergeCell ref="B5:G5"/>
    <mergeCell ref="J10:K10"/>
    <mergeCell ref="B11:G11"/>
    <mergeCell ref="B12:G12"/>
    <mergeCell ref="J12:K12"/>
    <mergeCell ref="B13:G13"/>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基本!$D$25:$D$29</xm:f>
          </x14:formula1>
          <xm:sqref>I8</xm:sqref>
        </x14:dataValidation>
        <x14:dataValidation type="list" allowBlank="1" showInputMessage="1" showErrorMessage="1">
          <x14:formula1>
            <xm:f>基本!$C$25:$C$35</xm:f>
          </x14:formula1>
          <xm:sqref>I15</xm:sqref>
        </x14:dataValidation>
        <x14:dataValidation type="list" allowBlank="1" showInputMessage="1" showErrorMessage="1">
          <x14:formula1>
            <xm:f>基本!$A$5:$A$10</xm:f>
          </x14:formula1>
          <xm:sqref>I11 I9</xm:sqref>
        </x14:dataValidation>
        <x14:dataValidation type="list" allowBlank="1" showInputMessage="1" showErrorMessage="1">
          <x14:formula1>
            <xm:f>基本!$A$14:$A$17</xm:f>
          </x14:formula1>
          <xm:sqref>K9</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N57"/>
  <sheetViews>
    <sheetView zoomScaleNormal="100" workbookViewId="0"/>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9.25" customWidth="1"/>
    <col min="14" max="14" width="12.375" customWidth="1"/>
  </cols>
  <sheetData>
    <row r="1" spans="1:14" ht="21">
      <c r="A1" s="61" t="s">
        <v>31</v>
      </c>
      <c r="B1" s="455">
        <v>11</v>
      </c>
      <c r="C1" s="456"/>
      <c r="D1" s="62" t="s">
        <v>39</v>
      </c>
      <c r="E1" s="63" t="s">
        <v>56</v>
      </c>
      <c r="F1" s="202" t="s">
        <v>250</v>
      </c>
      <c r="G1" s="201" t="s">
        <v>251</v>
      </c>
      <c r="H1" s="15" t="s">
        <v>54</v>
      </c>
    </row>
    <row r="2" spans="1:14" ht="24.75" customHeight="1">
      <c r="A2" s="62" t="s">
        <v>0</v>
      </c>
      <c r="B2" s="459" t="s">
        <v>162</v>
      </c>
      <c r="C2" s="459"/>
      <c r="D2" s="459"/>
      <c r="E2" s="459"/>
      <c r="F2" s="459"/>
      <c r="G2" s="459"/>
      <c r="H2" s="15" t="s">
        <v>55</v>
      </c>
    </row>
    <row r="3" spans="1:14" ht="19.5" customHeight="1">
      <c r="A3" s="45" t="s">
        <v>47</v>
      </c>
      <c r="B3" s="1"/>
      <c r="C3" s="1"/>
      <c r="D3" s="1"/>
      <c r="I3" s="15"/>
    </row>
    <row r="4" spans="1:14">
      <c r="A4" s="16" t="s">
        <v>45</v>
      </c>
      <c r="B4" s="397" t="s">
        <v>169</v>
      </c>
      <c r="C4" s="398"/>
      <c r="D4" s="398"/>
      <c r="E4" s="398"/>
      <c r="F4" s="398"/>
      <c r="G4" s="399"/>
    </row>
    <row r="5" spans="1:14">
      <c r="A5" s="17" t="s">
        <v>38</v>
      </c>
      <c r="B5" s="397" t="s">
        <v>159</v>
      </c>
      <c r="C5" s="398"/>
      <c r="D5" s="398"/>
      <c r="E5" s="398"/>
      <c r="F5" s="398"/>
      <c r="G5" s="399"/>
    </row>
    <row r="6" spans="1:14">
      <c r="A6" s="17" t="s">
        <v>6</v>
      </c>
      <c r="B6" s="452" t="s">
        <v>158</v>
      </c>
      <c r="C6" s="453"/>
      <c r="D6" s="454"/>
      <c r="E6" s="149" t="s">
        <v>42</v>
      </c>
      <c r="F6" s="153" t="str">
        <f>$I$6</f>
        <v>近接</v>
      </c>
      <c r="G6" s="148" t="str">
        <f>$J$6</f>
        <v>武器</v>
      </c>
      <c r="H6" s="65" t="s">
        <v>42</v>
      </c>
      <c r="I6" s="142" t="s">
        <v>70</v>
      </c>
      <c r="J6" s="66" t="s">
        <v>161</v>
      </c>
    </row>
    <row r="7" spans="1:14">
      <c r="A7" s="18" t="s">
        <v>5</v>
      </c>
      <c r="B7" s="495" t="s">
        <v>160</v>
      </c>
      <c r="C7" s="496"/>
      <c r="D7" s="497"/>
      <c r="E7" s="149" t="s">
        <v>67</v>
      </c>
      <c r="F7" s="148" t="str">
        <f>IF($I$7 = 0,"", $I$7)</f>
        <v/>
      </c>
      <c r="G7" s="148" t="str">
        <f>IF($J$7 = 0,"", $J$7)</f>
        <v/>
      </c>
      <c r="H7" s="65" t="s">
        <v>67</v>
      </c>
      <c r="I7" s="121"/>
      <c r="J7" s="66">
        <v>0</v>
      </c>
    </row>
    <row r="8" spans="1:14">
      <c r="A8" s="105" t="s">
        <v>110</v>
      </c>
      <c r="B8" s="485" t="s">
        <v>297</v>
      </c>
      <c r="C8" s="486"/>
      <c r="D8" s="486"/>
      <c r="E8" s="486"/>
      <c r="F8" s="486"/>
      <c r="G8" s="487"/>
      <c r="H8" s="65" t="s">
        <v>87</v>
      </c>
      <c r="I8" s="66" t="s">
        <v>124</v>
      </c>
      <c r="J8" s="15" t="s">
        <v>63</v>
      </c>
    </row>
    <row r="9" spans="1:14">
      <c r="A9" s="106"/>
      <c r="B9" s="406" t="s">
        <v>172</v>
      </c>
      <c r="C9" s="368"/>
      <c r="D9" s="368"/>
      <c r="E9" s="368"/>
      <c r="F9" s="368"/>
      <c r="G9" s="369"/>
      <c r="H9" s="65" t="s">
        <v>50</v>
      </c>
      <c r="I9" s="66" t="s">
        <v>13</v>
      </c>
      <c r="J9" s="64">
        <f>IF($I$9 = "筋力",基本!$C$5,IF($I$9 = "耐久力",基本!$C$6,IF($I$9 = "敏捷力",基本!$C$7,IF($I$9 = "知力",基本!$C$8,IF($I$9 = "判断力",基本!$C$9,IF($I$9 = "魅力",基本!$C$10,""))))))</f>
        <v>6</v>
      </c>
      <c r="K9" s="66" t="s">
        <v>93</v>
      </c>
    </row>
    <row r="10" spans="1:14">
      <c r="A10" s="103" t="s">
        <v>7</v>
      </c>
      <c r="B10" s="397" t="s">
        <v>171</v>
      </c>
      <c r="C10" s="398"/>
      <c r="D10" s="398"/>
      <c r="E10" s="398"/>
      <c r="F10" s="398"/>
      <c r="G10" s="399"/>
      <c r="H10" s="65" t="s">
        <v>59</v>
      </c>
      <c r="I10" s="66">
        <v>0</v>
      </c>
      <c r="J10" s="296" t="s">
        <v>52</v>
      </c>
      <c r="K10" s="297"/>
      <c r="L10" s="64">
        <f>IF($I$8=基本!$F$4,基本!$O$7,IF($I$8=基本!$F$13,基本!$O$16,IF($I$8=基本!$F$22,基本!$O$25,IF($I$8=基本!$F$31,基本!$O$34,IF($I$8=基本!$F$40,基本!$O$43,0)))))</f>
        <v>17</v>
      </c>
    </row>
    <row r="11" spans="1:14">
      <c r="A11" s="105" t="s">
        <v>163</v>
      </c>
      <c r="B11" s="400" t="s">
        <v>164</v>
      </c>
      <c r="C11" s="401"/>
      <c r="D11" s="401"/>
      <c r="E11" s="401"/>
      <c r="F11" s="401"/>
      <c r="G11" s="402"/>
      <c r="H11" s="43" t="s">
        <v>51</v>
      </c>
      <c r="I11" s="66" t="s">
        <v>13</v>
      </c>
      <c r="J11" s="42">
        <f>IF($I$9 = "筋力",基本!$C$5,IF($I$11 = "耐久力",基本!$C$6,IF($I$11 = "敏捷力",基本!$C$7,IF($I$11 = "知力",基本!$C$8,IF($I$11 = "判断力",基本!$C$9,IF($I$11 = "魅力",基本!$C$10,""))))))</f>
        <v>6</v>
      </c>
      <c r="L11" s="1"/>
    </row>
    <row r="12" spans="1:14" ht="5.25" customHeight="1">
      <c r="A12" s="21"/>
      <c r="B12" s="463"/>
      <c r="C12" s="464"/>
      <c r="D12" s="464"/>
      <c r="E12" s="464"/>
      <c r="F12" s="464"/>
      <c r="G12" s="465"/>
      <c r="H12" s="65" t="s">
        <v>60</v>
      </c>
      <c r="I12" s="66">
        <v>0</v>
      </c>
      <c r="J12" s="296" t="s">
        <v>53</v>
      </c>
      <c r="K12" s="297"/>
      <c r="L12" s="64">
        <f>IF($I$8=基本!$F$4,基本!$O$9,IF($I$8=基本!$F$13,基本!$O$18,IF($I$8=基本!$F$22,基本!$O$27,IF($I$8=基本!$F$31,基本!$O$36,IF($I$8=基本!$F$40,基本!$O$45,0)))))</f>
        <v>6</v>
      </c>
    </row>
    <row r="13" spans="1:14" ht="14.25" thickBot="1">
      <c r="A13" s="14" t="s">
        <v>46</v>
      </c>
      <c r="E13" s="3"/>
      <c r="H13" s="44" t="s">
        <v>88</v>
      </c>
      <c r="I13" s="66">
        <v>3</v>
      </c>
      <c r="J13" s="65" t="s">
        <v>43</v>
      </c>
      <c r="K13" s="66">
        <v>4</v>
      </c>
      <c r="L13" s="131">
        <v>6</v>
      </c>
      <c r="M13" s="147" t="s">
        <v>166</v>
      </c>
    </row>
    <row r="14" spans="1:14" s="132" customFormat="1" ht="13.5" customHeight="1">
      <c r="A14" s="467" t="str">
        <f>$B$2</f>
        <v>クリティカル・オポチュニティ</v>
      </c>
      <c r="B14" s="468"/>
      <c r="C14" s="469"/>
      <c r="D14" s="182" t="s">
        <v>244</v>
      </c>
      <c r="E14" s="385" t="s">
        <v>243</v>
      </c>
      <c r="F14" s="387"/>
      <c r="H14" s="65" t="s">
        <v>49</v>
      </c>
      <c r="I14" s="66">
        <v>4</v>
      </c>
      <c r="J14" s="65" t="s">
        <v>43</v>
      </c>
      <c r="K14" s="66">
        <v>12</v>
      </c>
      <c r="M14"/>
      <c r="N14"/>
    </row>
    <row r="15" spans="1:14" s="132" customFormat="1" ht="18.75" customHeight="1" thickBot="1">
      <c r="A15" s="470"/>
      <c r="B15" s="471"/>
      <c r="C15" s="472"/>
      <c r="D15" s="163" t="s">
        <v>240</v>
      </c>
      <c r="E15" s="164" t="s">
        <v>239</v>
      </c>
      <c r="F15" s="183" t="s">
        <v>241</v>
      </c>
      <c r="H15" s="65" t="s">
        <v>61</v>
      </c>
      <c r="I15" s="66"/>
      <c r="J15" s="1"/>
      <c r="K15" s="1"/>
      <c r="L15"/>
      <c r="M15"/>
      <c r="N15"/>
    </row>
    <row r="16" spans="1:14" ht="23.25" customHeight="1" thickBot="1">
      <c r="A16" s="428" t="s">
        <v>41</v>
      </c>
      <c r="B16" s="429"/>
      <c r="C16" s="184" t="str">
        <f>$K$9</f>
        <v>AC</v>
      </c>
      <c r="D16" s="177" t="str">
        <f>$J$9+$L$10+$I$10 &amp; "+1d20"&amp;"☆"</f>
        <v>23+1d20☆</v>
      </c>
      <c r="E16" s="178" t="str">
        <f>$J$9+$L$10+2+$I$10 &amp; "+1d20"&amp;"☆"</f>
        <v>25+1d20☆</v>
      </c>
      <c r="F16" s="179" t="str">
        <f>$J$9+$L$10+2+$I$10 &amp; "+1d20"&amp;"☆"</f>
        <v>25+1d20☆</v>
      </c>
      <c r="H16" s="77" t="s">
        <v>130</v>
      </c>
      <c r="I16" s="119">
        <f>基本!$B$21</f>
        <v>3</v>
      </c>
      <c r="J16" s="77" t="s">
        <v>43</v>
      </c>
      <c r="K16" s="119">
        <f>基本!$D$21</f>
        <v>8</v>
      </c>
      <c r="L16" s="132"/>
    </row>
    <row r="17" spans="1:14" ht="23.25" customHeight="1">
      <c r="A17" s="388" t="s">
        <v>1</v>
      </c>
      <c r="B17" s="171" t="s">
        <v>3</v>
      </c>
      <c r="C17" s="172" t="str">
        <f>IF($I$15 = 0,"", $I$15)</f>
        <v/>
      </c>
      <c r="D17" s="173" t="str">
        <f>$J$11+$L$12+$I$12 &amp; "+" &amp; $I$13 &amp; "d" &amp; $K$13</f>
        <v>12+3d4</v>
      </c>
      <c r="E17" s="174" t="str">
        <f>$J$11+$L$12+$I$12+2 &amp; "+" &amp; $I$13 &amp; "d" &amp; $K$13</f>
        <v>14+3d4</v>
      </c>
      <c r="F17" s="175" t="str">
        <f>$J$11+$L$12+$I$12+2 &amp; "+" &amp; $I$13 &amp; "d" &amp; $K$13 &amp; "+" &amp; $I$16 &amp; "d" &amp; $K$16</f>
        <v>14+3d4+3d8</v>
      </c>
      <c r="G17"/>
      <c r="H17" s="138" t="s">
        <v>167</v>
      </c>
      <c r="I17" s="119">
        <f>基本!$B$23</f>
        <v>1</v>
      </c>
      <c r="J17" s="139" t="s">
        <v>43</v>
      </c>
      <c r="K17" s="119">
        <f>基本!$D$23</f>
        <v>10</v>
      </c>
      <c r="L17" s="132"/>
      <c r="M17" s="132"/>
      <c r="N17" s="132"/>
    </row>
    <row r="18" spans="1:14" ht="23.25" customHeight="1" thickBot="1">
      <c r="A18" s="389"/>
      <c r="B18" s="92" t="s">
        <v>2</v>
      </c>
      <c r="C18" s="87" t="str">
        <f>IF($I$15 = 0,"", $I$15)</f>
        <v/>
      </c>
      <c r="D18" s="88" t="str">
        <f>$J$11+$L$12+$I$12+($I$13*$K$13) &amp; IF($I$14 = 0,"","+" &amp; $I$14 &amp; "d" &amp; $K$14) &amp; IF($I$17 = 0,"","+" &amp; $I$17 &amp; "d" &amp; $K$17) &amp;"★"</f>
        <v>24+4d12+1d10★</v>
      </c>
      <c r="E18" s="151" t="str">
        <f>$J$11+$L$12+$I$12+2+($I$13*$K$13)&amp; IF($I$14 = 0,"","+" &amp; $I$14 &amp; "d" &amp; $K$14) &amp; IF($I$17 = 0,"","+" &amp; $I$17 &amp; "d" &amp; $K$17) &amp;"★"</f>
        <v>26+4d12+1d10★</v>
      </c>
      <c r="F18" s="89" t="str">
        <f>$J$11+$L$12+$I$12+2+($I$13*$K$13)+($I$16*$K$16) &amp; IF($I$14 = 0,"","+" &amp; $I$14 &amp; "d" &amp; $K$14) &amp; IF($I$17 = 0,"","+" &amp; $I$17 &amp; "d" &amp; $K$17) &amp;"★"</f>
        <v>50+4d12+1d10★</v>
      </c>
      <c r="G18"/>
      <c r="H18" s="159"/>
      <c r="I18" s="160"/>
      <c r="J18" s="161"/>
      <c r="K18" s="160"/>
      <c r="L18" s="132"/>
      <c r="M18" s="132"/>
      <c r="N18" s="132"/>
    </row>
    <row r="19" spans="1:14" s="132" customFormat="1" ht="23.25" customHeight="1">
      <c r="A19" s="370" t="str">
        <f>汎12!$B$2</f>
        <v>メディティション・オヴ・ザ・ブレード</v>
      </c>
      <c r="B19" s="136" t="s">
        <v>3</v>
      </c>
      <c r="C19" s="86" t="str">
        <f>IF($I$15 = 0,"", $I$15)</f>
        <v/>
      </c>
      <c r="D19" s="90" t="str">
        <f>$J$11+$L$12+$I$12 &amp; "+" &amp; $I$13 &amp; "d" &amp; $L$13</f>
        <v>12+3d6</v>
      </c>
      <c r="E19" s="150" t="str">
        <f>$J$11+$L$12+$I$12+2 &amp;  "+" &amp; $I$13 &amp; "d" &amp; $L$13</f>
        <v>14+3d6</v>
      </c>
      <c r="F19" s="91" t="str">
        <f>$J$11+$L$12+$I$12+2 &amp; "+" &amp; $I$13 &amp; "d" &amp; $L$13 &amp; "+" &amp; $I$16 &amp; "d" &amp; $K$16</f>
        <v>14+3d6+3d8</v>
      </c>
      <c r="H19" s="1"/>
      <c r="I19" s="1"/>
      <c r="J19"/>
      <c r="K19"/>
      <c r="L19"/>
      <c r="M19"/>
      <c r="N19"/>
    </row>
    <row r="20" spans="1:14" s="132" customFormat="1" ht="23.25" customHeight="1" thickBot="1">
      <c r="A20" s="371"/>
      <c r="B20" s="92" t="s">
        <v>2</v>
      </c>
      <c r="C20" s="87" t="str">
        <f>IF($I$15 = 0,"", $I$15)</f>
        <v/>
      </c>
      <c r="D20" s="88" t="str">
        <f>$J$11+$L$12+$I$12+($I$13*$L$13) &amp; IF($I$14 = 0,"","+" &amp; $I$14 &amp; "d" &amp; $K$14) &amp; IF($I$17 = 0,"","+" &amp; $I$17 &amp; "d" &amp; $K$17) &amp;"★"</f>
        <v>30+4d12+1d10★</v>
      </c>
      <c r="E20" s="151" t="str">
        <f>$J$11+$L$12+$I$12+2+($I$13*$L$13)&amp; IF($I$14 = 0,"","+" &amp; $I$14 &amp; "d" &amp; $K$14) &amp; IF($I$17 = 0,"","+" &amp; $I$17 &amp; "d" &amp; $K$17) &amp;"★"</f>
        <v>32+4d12+1d10★</v>
      </c>
      <c r="F20" s="89" t="str">
        <f>$J$11+$L$12+$I$12+2+($I$13*$L$13)+($I$16*$K$16) &amp; IF($I$14 = 0,"","+" &amp; $I$14 &amp; "d" &amp; $K$14) &amp; IF($I$17 = 0,"","+" &amp; $I$17 &amp; "d" &amp; $K$17) &amp;"★"</f>
        <v>56+4d12+1d10★</v>
      </c>
      <c r="H20"/>
      <c r="I20"/>
      <c r="J20"/>
      <c r="K20"/>
      <c r="L20"/>
      <c r="M20"/>
      <c r="N20"/>
    </row>
    <row r="21" spans="1:14" s="93" customFormat="1" ht="19.5" customHeight="1">
      <c r="A21" s="360" t="s">
        <v>170</v>
      </c>
      <c r="B21" s="360"/>
      <c r="C21" s="360"/>
      <c r="D21" s="360"/>
      <c r="E21" s="360"/>
      <c r="F21" s="360"/>
      <c r="G21" s="360"/>
      <c r="H21"/>
      <c r="I21"/>
      <c r="J21"/>
      <c r="K21"/>
      <c r="L21"/>
      <c r="M21"/>
      <c r="N21"/>
    </row>
    <row r="22" spans="1:14" s="93" customFormat="1" ht="13.5" customHeight="1">
      <c r="A22" s="361" t="s">
        <v>173</v>
      </c>
      <c r="B22" s="361"/>
      <c r="C22" s="361"/>
      <c r="D22" s="361"/>
      <c r="E22" s="361"/>
      <c r="F22" s="361"/>
      <c r="G22" s="361"/>
      <c r="H22" s="132"/>
      <c r="I22" s="132"/>
      <c r="J22" s="132"/>
      <c r="K22" s="132"/>
      <c r="L22" s="132"/>
      <c r="M22" s="132"/>
      <c r="N22" s="132"/>
    </row>
    <row r="23" spans="1:14" s="93" customFormat="1" ht="13.5" customHeight="1">
      <c r="A23" s="362" t="s">
        <v>174</v>
      </c>
      <c r="B23" s="362"/>
      <c r="C23" s="362"/>
      <c r="D23" s="362"/>
      <c r="E23" s="362"/>
      <c r="F23" s="362"/>
      <c r="G23" s="362"/>
      <c r="H23" s="132"/>
      <c r="I23" s="132"/>
      <c r="J23" s="132"/>
      <c r="K23" s="132"/>
      <c r="L23" s="132"/>
      <c r="M23" s="132"/>
      <c r="N23" s="132"/>
    </row>
    <row r="24" spans="1:14" s="132" customFormat="1" ht="19.5" customHeight="1">
      <c r="A24" s="360" t="s">
        <v>235</v>
      </c>
      <c r="B24" s="360"/>
      <c r="C24" s="360"/>
      <c r="D24" s="360"/>
      <c r="E24" s="360"/>
      <c r="F24" s="360"/>
      <c r="G24" s="360"/>
      <c r="H24" s="94"/>
      <c r="I24" s="93"/>
      <c r="J24" s="93"/>
      <c r="K24" s="93"/>
      <c r="L24" s="93"/>
      <c r="M24" s="93"/>
      <c r="N24" s="93"/>
    </row>
    <row r="25" spans="1:14" s="132" customFormat="1" ht="13.5" customHeight="1">
      <c r="A25" s="361" t="s">
        <v>236</v>
      </c>
      <c r="B25" s="361"/>
      <c r="C25" s="361"/>
      <c r="D25" s="361"/>
      <c r="E25" s="361"/>
      <c r="F25" s="361"/>
      <c r="G25" s="361"/>
      <c r="H25" s="94"/>
      <c r="I25" s="94"/>
      <c r="J25" s="94"/>
      <c r="K25" s="94"/>
      <c r="L25" s="93"/>
      <c r="M25" s="93"/>
      <c r="N25" s="93"/>
    </row>
    <row r="26" spans="1:14" s="132" customFormat="1" ht="13.5" customHeight="1">
      <c r="A26" s="361" t="s">
        <v>237</v>
      </c>
      <c r="B26" s="361"/>
      <c r="C26" s="361"/>
      <c r="D26" s="361"/>
      <c r="E26" s="361"/>
      <c r="F26" s="361"/>
      <c r="G26" s="361"/>
      <c r="H26" s="94"/>
      <c r="I26" s="93"/>
      <c r="J26" s="93"/>
      <c r="K26" s="93"/>
      <c r="L26" s="93"/>
      <c r="M26" s="93"/>
      <c r="N26" s="93"/>
    </row>
    <row r="27" spans="1:14" s="132" customFormat="1" ht="19.5" customHeight="1">
      <c r="A27" s="360" t="s">
        <v>498</v>
      </c>
      <c r="B27" s="360"/>
      <c r="C27" s="360"/>
      <c r="D27" s="360"/>
      <c r="E27" s="360"/>
      <c r="F27" s="360"/>
      <c r="G27" s="360"/>
      <c r="H27" s="94"/>
    </row>
    <row r="28" spans="1:14" s="132" customFormat="1" ht="13.5" customHeight="1">
      <c r="A28" s="361" t="s">
        <v>496</v>
      </c>
      <c r="B28" s="361"/>
      <c r="C28" s="361"/>
      <c r="D28" s="361"/>
      <c r="E28" s="361"/>
      <c r="F28" s="361"/>
      <c r="G28" s="361"/>
      <c r="H28" s="94"/>
      <c r="I28" s="94"/>
      <c r="J28" s="94"/>
      <c r="K28" s="94"/>
    </row>
    <row r="29" spans="1:14" s="132" customFormat="1" ht="13.5" customHeight="1">
      <c r="A29" s="363" t="s">
        <v>497</v>
      </c>
      <c r="B29" s="363"/>
      <c r="C29" s="363"/>
      <c r="D29" s="363"/>
      <c r="E29" s="363"/>
      <c r="F29" s="363"/>
      <c r="G29" s="363"/>
      <c r="H29" s="94"/>
    </row>
    <row r="30" spans="1:14" s="127" customFormat="1" ht="19.5" customHeight="1">
      <c r="A30" s="360" t="s">
        <v>515</v>
      </c>
      <c r="B30" s="360"/>
      <c r="C30" s="360"/>
      <c r="D30" s="360"/>
      <c r="E30" s="360"/>
      <c r="F30" s="360"/>
      <c r="G30" s="360"/>
      <c r="H30" s="94"/>
      <c r="I30" s="132"/>
      <c r="J30" s="132"/>
      <c r="K30" s="132"/>
      <c r="L30" s="132"/>
      <c r="M30" s="132"/>
      <c r="N30" s="132"/>
    </row>
    <row r="31" spans="1:14" s="127" customFormat="1" ht="13.5" customHeight="1">
      <c r="A31" s="361" t="s">
        <v>200</v>
      </c>
      <c r="B31" s="361"/>
      <c r="C31" s="361"/>
      <c r="D31" s="361"/>
      <c r="E31" s="361"/>
      <c r="F31" s="361"/>
      <c r="G31" s="361"/>
      <c r="H31" s="94"/>
      <c r="I31" s="94"/>
      <c r="J31" s="94"/>
      <c r="K31" s="94"/>
      <c r="L31" s="132"/>
      <c r="M31" s="132"/>
      <c r="N31" s="132"/>
    </row>
    <row r="32" spans="1:14" s="127" customFormat="1" ht="13.5" customHeight="1">
      <c r="A32" s="362" t="s">
        <v>175</v>
      </c>
      <c r="B32" s="362"/>
      <c r="C32" s="362"/>
      <c r="D32" s="362"/>
      <c r="E32" s="362"/>
      <c r="F32" s="362"/>
      <c r="G32" s="362"/>
      <c r="H32" s="94"/>
      <c r="I32" s="94"/>
      <c r="J32" s="94"/>
      <c r="K32" s="94"/>
      <c r="L32" s="132"/>
      <c r="M32" s="132"/>
      <c r="N32" s="132"/>
    </row>
    <row r="33" spans="1:14">
      <c r="A33" s="68"/>
      <c r="B33" s="68"/>
      <c r="C33" s="68"/>
      <c r="D33" s="68"/>
      <c r="E33" s="68"/>
      <c r="F33" s="68"/>
      <c r="G33" s="68"/>
      <c r="H33" s="94"/>
      <c r="I33" s="127"/>
      <c r="J33" s="127"/>
      <c r="K33" s="127"/>
      <c r="L33" s="127"/>
      <c r="M33" s="127"/>
      <c r="N33" s="127"/>
    </row>
    <row r="34" spans="1:14">
      <c r="A34" s="416" t="s">
        <v>48</v>
      </c>
      <c r="B34" s="417"/>
      <c r="C34" s="417"/>
      <c r="D34" s="417"/>
      <c r="E34" s="417"/>
      <c r="F34" s="417"/>
      <c r="G34" s="418"/>
      <c r="H34" s="94"/>
      <c r="I34" s="94"/>
      <c r="J34" s="94"/>
      <c r="K34" s="94"/>
      <c r="L34" s="127"/>
      <c r="M34" s="127"/>
      <c r="N34" s="127"/>
    </row>
    <row r="35" spans="1:14" s="132" customFormat="1" ht="21" customHeight="1">
      <c r="A35" s="441" t="s">
        <v>280</v>
      </c>
      <c r="B35" s="442"/>
      <c r="C35" s="442"/>
      <c r="D35" s="442"/>
      <c r="E35" s="442"/>
      <c r="F35" s="442"/>
      <c r="G35" s="443"/>
      <c r="H35" s="94"/>
      <c r="I35" s="94"/>
      <c r="J35" s="94"/>
      <c r="K35" s="94"/>
    </row>
    <row r="36" spans="1:14" s="1" customFormat="1">
      <c r="A36" s="235" t="s">
        <v>364</v>
      </c>
      <c r="B36" s="236"/>
      <c r="C36" s="236"/>
      <c r="D36" s="236"/>
      <c r="E36" s="436" t="s">
        <v>368</v>
      </c>
      <c r="F36" s="436"/>
      <c r="G36" s="437"/>
      <c r="L36"/>
      <c r="M36"/>
      <c r="N36"/>
    </row>
    <row r="37" spans="1:14" s="82" customFormat="1">
      <c r="A37" s="235" t="s">
        <v>363</v>
      </c>
      <c r="B37" s="236"/>
      <c r="C37" s="236"/>
      <c r="D37" s="236"/>
      <c r="E37" s="436" t="s">
        <v>367</v>
      </c>
      <c r="F37" s="436"/>
      <c r="G37" s="437"/>
      <c r="H37" s="1"/>
      <c r="I37" s="1"/>
      <c r="J37" s="1"/>
      <c r="K37" s="1"/>
      <c r="L37"/>
      <c r="M37" s="1"/>
      <c r="N37" s="1"/>
    </row>
    <row r="38" spans="1:14" s="82" customFormat="1">
      <c r="A38" s="235" t="s">
        <v>365</v>
      </c>
      <c r="B38" s="236"/>
      <c r="C38" s="236"/>
      <c r="D38" s="236"/>
      <c r="E38" s="436" t="s">
        <v>369</v>
      </c>
      <c r="F38" s="436"/>
      <c r="G38" s="437"/>
      <c r="H38" s="1"/>
      <c r="I38" s="1"/>
      <c r="J38" s="1"/>
      <c r="K38" s="1"/>
      <c r="L38"/>
      <c r="M38" s="1"/>
      <c r="N38" s="1"/>
    </row>
    <row r="39" spans="1:14" s="82" customFormat="1">
      <c r="A39" s="235" t="s">
        <v>366</v>
      </c>
      <c r="B39" s="236"/>
      <c r="C39" s="236"/>
      <c r="D39" s="236"/>
      <c r="E39" s="436" t="s">
        <v>370</v>
      </c>
      <c r="F39" s="436"/>
      <c r="G39" s="437"/>
      <c r="H39" s="1"/>
      <c r="I39" s="1"/>
      <c r="J39" s="1"/>
      <c r="K39" s="1"/>
      <c r="L39"/>
      <c r="M39" s="1"/>
      <c r="N39" s="1"/>
    </row>
    <row r="40" spans="1:14" s="82" customFormat="1">
      <c r="A40" s="493" t="s">
        <v>371</v>
      </c>
      <c r="B40" s="494"/>
      <c r="C40" s="494"/>
      <c r="D40" s="494"/>
      <c r="E40" s="232" t="s">
        <v>372</v>
      </c>
      <c r="F40" s="232"/>
      <c r="G40" s="233"/>
      <c r="L40" s="81"/>
    </row>
    <row r="41" spans="1:14" s="82" customFormat="1">
      <c r="A41" s="372" t="s">
        <v>385</v>
      </c>
      <c r="B41" s="365"/>
      <c r="C41" s="365"/>
      <c r="D41" s="365"/>
      <c r="E41" s="365"/>
      <c r="F41" s="365"/>
      <c r="G41" s="366"/>
      <c r="L41" s="81"/>
    </row>
    <row r="42" spans="1:14" s="82" customFormat="1" ht="6.75" customHeight="1">
      <c r="A42" s="372"/>
      <c r="B42" s="365"/>
      <c r="C42" s="365"/>
      <c r="D42" s="365"/>
      <c r="E42" s="365"/>
      <c r="F42" s="365"/>
      <c r="G42" s="366"/>
      <c r="L42" s="81"/>
    </row>
    <row r="43" spans="1:14" s="284" customFormat="1" ht="14.25">
      <c r="A43" s="490" t="s">
        <v>382</v>
      </c>
      <c r="B43" s="491"/>
      <c r="C43" s="491"/>
      <c r="D43" s="491"/>
      <c r="E43" s="491"/>
      <c r="F43" s="491"/>
      <c r="G43" s="492"/>
      <c r="L43" s="285"/>
    </row>
    <row r="44" spans="1:14" s="82" customFormat="1">
      <c r="A44" s="372" t="s">
        <v>386</v>
      </c>
      <c r="B44" s="365"/>
      <c r="C44" s="365"/>
      <c r="D44" s="365"/>
      <c r="E44" s="365"/>
      <c r="F44" s="365"/>
      <c r="G44" s="366"/>
      <c r="L44" s="81"/>
    </row>
    <row r="45" spans="1:14" s="82" customFormat="1">
      <c r="A45" s="372" t="s">
        <v>383</v>
      </c>
      <c r="B45" s="365"/>
      <c r="C45" s="365"/>
      <c r="D45" s="365"/>
      <c r="E45" s="365"/>
      <c r="F45" s="365"/>
      <c r="G45" s="366"/>
      <c r="L45" s="81"/>
    </row>
    <row r="46" spans="1:14" s="82" customFormat="1" ht="6.75" customHeight="1">
      <c r="A46" s="372"/>
      <c r="B46" s="365"/>
      <c r="C46" s="365"/>
      <c r="D46" s="365"/>
      <c r="E46" s="365"/>
      <c r="F46" s="365"/>
      <c r="G46" s="366"/>
      <c r="L46" s="81"/>
    </row>
    <row r="47" spans="1:14" s="284" customFormat="1" ht="14.25">
      <c r="A47" s="490" t="s">
        <v>384</v>
      </c>
      <c r="B47" s="491"/>
      <c r="C47" s="491"/>
      <c r="D47" s="491"/>
      <c r="E47" s="491"/>
      <c r="F47" s="491"/>
      <c r="G47" s="492"/>
      <c r="L47" s="285"/>
    </row>
    <row r="48" spans="1:14" s="82" customFormat="1">
      <c r="A48" s="372" t="s">
        <v>389</v>
      </c>
      <c r="B48" s="365"/>
      <c r="C48" s="365"/>
      <c r="D48" s="365"/>
      <c r="E48" s="365"/>
      <c r="F48" s="365"/>
      <c r="G48" s="366"/>
      <c r="L48" s="81"/>
    </row>
    <row r="49" spans="1:14" s="82" customFormat="1">
      <c r="A49" s="372" t="s">
        <v>387</v>
      </c>
      <c r="B49" s="365"/>
      <c r="C49" s="365"/>
      <c r="D49" s="365"/>
      <c r="E49" s="365"/>
      <c r="F49" s="365"/>
      <c r="G49" s="366"/>
      <c r="L49" s="81"/>
    </row>
    <row r="50" spans="1:14" s="94" customFormat="1">
      <c r="A50" s="372" t="s">
        <v>388</v>
      </c>
      <c r="B50" s="365"/>
      <c r="C50" s="365"/>
      <c r="D50" s="365"/>
      <c r="E50" s="365"/>
      <c r="F50" s="365"/>
      <c r="G50" s="366"/>
      <c r="L50" s="132"/>
    </row>
    <row r="51" spans="1:14" s="94" customFormat="1">
      <c r="A51" s="372" t="s">
        <v>390</v>
      </c>
      <c r="B51" s="365"/>
      <c r="C51" s="365"/>
      <c r="D51" s="365"/>
      <c r="E51" s="365"/>
      <c r="F51" s="365"/>
      <c r="G51" s="366"/>
      <c r="L51" s="132"/>
    </row>
    <row r="52" spans="1:14" s="94" customFormat="1">
      <c r="A52" s="372" t="s">
        <v>391</v>
      </c>
      <c r="B52" s="365"/>
      <c r="C52" s="365"/>
      <c r="D52" s="365"/>
      <c r="E52" s="365"/>
      <c r="F52" s="365"/>
      <c r="G52" s="366"/>
      <c r="L52" s="132"/>
    </row>
    <row r="53" spans="1:14" s="1" customFormat="1">
      <c r="A53" s="372" t="s">
        <v>392</v>
      </c>
      <c r="B53" s="365"/>
      <c r="C53" s="365"/>
      <c r="D53" s="365"/>
      <c r="E53" s="365"/>
      <c r="F53" s="365"/>
      <c r="G53" s="366"/>
      <c r="H53" s="82"/>
      <c r="I53" s="82"/>
      <c r="J53" s="82"/>
      <c r="K53" s="82"/>
      <c r="L53" s="81"/>
      <c r="M53" s="82"/>
      <c r="N53" s="82"/>
    </row>
    <row r="54" spans="1:14" s="1" customFormat="1" ht="7.5" customHeight="1">
      <c r="A54" s="406"/>
      <c r="B54" s="368"/>
      <c r="C54" s="368"/>
      <c r="D54" s="368"/>
      <c r="E54" s="368"/>
      <c r="F54" s="368"/>
      <c r="G54" s="369"/>
      <c r="H54" s="82"/>
      <c r="I54" s="82"/>
      <c r="J54" s="82"/>
      <c r="K54" s="82"/>
      <c r="L54" s="81"/>
      <c r="M54" s="82"/>
      <c r="N54" s="82"/>
    </row>
    <row r="55" spans="1:14" ht="21">
      <c r="A55" s="57" t="s">
        <v>31</v>
      </c>
      <c r="B55" s="69">
        <f>$B$1</f>
        <v>11</v>
      </c>
      <c r="C55" s="59" t="s">
        <v>39</v>
      </c>
      <c r="D55" s="60" t="str">
        <f>$E$1</f>
        <v>遭遇毎</v>
      </c>
      <c r="E55" s="438" t="str">
        <f>$B$2</f>
        <v>クリティカル・オポチュニティ</v>
      </c>
      <c r="F55" s="439"/>
      <c r="G55" s="440"/>
      <c r="H55" s="82"/>
      <c r="I55" s="82"/>
      <c r="J55" s="82"/>
      <c r="K55" s="82"/>
      <c r="L55" s="81"/>
      <c r="M55" s="82"/>
      <c r="N55" s="82"/>
    </row>
    <row r="56" spans="1:14">
      <c r="M56" s="1"/>
      <c r="N56" s="1"/>
    </row>
    <row r="57" spans="1:14">
      <c r="M57" s="1"/>
      <c r="N57" s="1"/>
    </row>
  </sheetData>
  <mergeCells count="52">
    <mergeCell ref="J12:K12"/>
    <mergeCell ref="A50:G50"/>
    <mergeCell ref="A52:G52"/>
    <mergeCell ref="A53:G53"/>
    <mergeCell ref="A51:G51"/>
    <mergeCell ref="A29:G29"/>
    <mergeCell ref="J10:K10"/>
    <mergeCell ref="B11:G11"/>
    <mergeCell ref="A23:G23"/>
    <mergeCell ref="A45:G45"/>
    <mergeCell ref="A41:G41"/>
    <mergeCell ref="A42:G42"/>
    <mergeCell ref="A43:G43"/>
    <mergeCell ref="A44:G44"/>
    <mergeCell ref="A30:G30"/>
    <mergeCell ref="A31:G31"/>
    <mergeCell ref="A19:A20"/>
    <mergeCell ref="A32:G32"/>
    <mergeCell ref="E36:G36"/>
    <mergeCell ref="E37:G37"/>
    <mergeCell ref="E38:G38"/>
    <mergeCell ref="E39:G39"/>
    <mergeCell ref="B7:D7"/>
    <mergeCell ref="B8:G8"/>
    <mergeCell ref="B9:G9"/>
    <mergeCell ref="B10:G10"/>
    <mergeCell ref="A24:G24"/>
    <mergeCell ref="A17:A18"/>
    <mergeCell ref="A14:C15"/>
    <mergeCell ref="E14:F14"/>
    <mergeCell ref="A16:B16"/>
    <mergeCell ref="B1:C1"/>
    <mergeCell ref="B2:G2"/>
    <mergeCell ref="B4:G4"/>
    <mergeCell ref="B5:G5"/>
    <mergeCell ref="B6:D6"/>
    <mergeCell ref="E55:G55"/>
    <mergeCell ref="B12:G12"/>
    <mergeCell ref="A34:G34"/>
    <mergeCell ref="A35:G35"/>
    <mergeCell ref="A54:G54"/>
    <mergeCell ref="A21:G21"/>
    <mergeCell ref="A22:G22"/>
    <mergeCell ref="A47:G47"/>
    <mergeCell ref="A25:G25"/>
    <mergeCell ref="A26:G26"/>
    <mergeCell ref="A48:G48"/>
    <mergeCell ref="A49:G49"/>
    <mergeCell ref="A40:D40"/>
    <mergeCell ref="A46:G46"/>
    <mergeCell ref="A27:G27"/>
    <mergeCell ref="A28:G28"/>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基本!$A$14:$A$17</xm:f>
          </x14:formula1>
          <xm:sqref>K9</xm:sqref>
        </x14:dataValidation>
        <x14:dataValidation type="list" allowBlank="1" showInputMessage="1" showErrorMessage="1">
          <x14:formula1>
            <xm:f>基本!$A$5:$A$10</xm:f>
          </x14:formula1>
          <xm:sqref>I11 I9</xm:sqref>
        </x14:dataValidation>
        <x14:dataValidation type="list" allowBlank="1" showInputMessage="1" showErrorMessage="1">
          <x14:formula1>
            <xm:f>基本!$C$25:$C$35</xm:f>
          </x14:formula1>
          <xm:sqref>I15</xm:sqref>
        </x14:dataValidation>
        <x14:dataValidation type="list" allowBlank="1" showInputMessage="1" showErrorMessage="1">
          <x14:formula1>
            <xm:f>基本!$D$25:$D$29</xm:f>
          </x14:formula1>
          <xm:sqref>I8</xm:sqref>
        </x14:dataValidation>
        <x14:dataValidation type="list" allowBlank="1" showInputMessage="1" showErrorMessage="1">
          <x14:formula1>
            <xm:f>基本!$B$25:$B$29</xm:f>
          </x14:formula1>
          <xm:sqref>I7</xm:sqref>
        </x14:dataValidation>
        <x14:dataValidation type="list" allowBlank="1" showInputMessage="1" showErrorMessage="1">
          <x14:formula1>
            <xm:f>基本!$A$25:$A$31</xm:f>
          </x14:formula1>
          <xm:sqref>I6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基本</vt:lpstr>
      <vt:lpstr>一覧</vt:lpstr>
      <vt:lpstr>近接基礎</vt:lpstr>
      <vt:lpstr>遠隔基礎</vt:lpstr>
      <vt:lpstr>無01_1</vt:lpstr>
      <vt:lpstr>無01_2</vt:lpstr>
      <vt:lpstr>遭03</vt:lpstr>
      <vt:lpstr>遭07</vt:lpstr>
      <vt:lpstr>遭11</vt:lpstr>
      <vt:lpstr>遭13</vt:lpstr>
      <vt:lpstr>日05</vt:lpstr>
      <vt:lpstr>日09</vt:lpstr>
      <vt:lpstr>日15</vt:lpstr>
      <vt:lpstr>クラス日_1</vt:lpstr>
      <vt:lpstr>汎02</vt:lpstr>
      <vt:lpstr>汎06</vt:lpstr>
      <vt:lpstr>汎10</vt:lpstr>
      <vt:lpstr>汎12</vt:lpstr>
      <vt:lpstr>種族遭</vt:lpstr>
      <vt:lpstr>クラス日_1!Print_Area</vt:lpstr>
      <vt:lpstr>遠隔基礎!Print_Area</vt:lpstr>
      <vt:lpstr>基本!Print_Area</vt:lpstr>
      <vt:lpstr>近接基礎!Print_Area</vt:lpstr>
      <vt:lpstr>種族遭!Print_Area</vt:lpstr>
      <vt:lpstr>遭03!Print_Area</vt:lpstr>
      <vt:lpstr>遭07!Print_Area</vt:lpstr>
      <vt:lpstr>遭11!Print_Area</vt:lpstr>
      <vt:lpstr>遭13!Print_Area</vt:lpstr>
      <vt:lpstr>日05!Print_Area</vt:lpstr>
      <vt:lpstr>日09!Print_Area</vt:lpstr>
      <vt:lpstr>日15!Print_Area</vt:lpstr>
      <vt:lpstr>汎02!Print_Area</vt:lpstr>
      <vt:lpstr>汎06!Print_Area</vt:lpstr>
      <vt:lpstr>汎10!Print_Area</vt:lpstr>
      <vt:lpstr>汎12!Print_Area</vt:lpstr>
      <vt:lpstr>無01_1!Print_Area</vt:lpstr>
      <vt:lpstr>無01_2!Print_Area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2013-02-05T19:20:56Z</cp:lastPrinted>
  <dcterms:created xsi:type="dcterms:W3CDTF">2012-08-09T16:34:12Z</dcterms:created>
  <dcterms:modified xsi:type="dcterms:W3CDTF">2013-02-05T19:26:37Z</dcterms:modified>
</cp:coreProperties>
</file>