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285" windowHeight="8160" tabRatio="693" activeTab="0"/>
  </bookViews>
  <sheets>
    <sheet name="基本" sheetId="1" r:id="rId1"/>
    <sheet name="無01_1" sheetId="2" r:id="rId2"/>
    <sheet name="無01_2" sheetId="3" r:id="rId3"/>
    <sheet name="遭01_2" sheetId="4" r:id="rId4"/>
    <sheet name="遭01" sheetId="5" r:id="rId5"/>
    <sheet name="遭07" sheetId="6" r:id="rId6"/>
    <sheet name="遭11" sheetId="7" r:id="rId7"/>
    <sheet name="遭13" sheetId="8" r:id="rId8"/>
    <sheet name="日01" sheetId="9" r:id="rId9"/>
    <sheet name="日01_維持" sheetId="10" r:id="rId10"/>
    <sheet name="日05" sheetId="11" r:id="rId11"/>
    <sheet name="日15" sheetId="12" r:id="rId12"/>
  </sheets>
  <definedNames>
    <definedName name="_xlnm.Print_Area" localSheetId="0">'基本'!$A$1:$O$38</definedName>
    <definedName name="_xlnm.Print_Area" localSheetId="4">'遭01'!$A$1:$G$52</definedName>
    <definedName name="_xlnm.Print_Area" localSheetId="3">'遭01_2'!$A$1:$G$49</definedName>
    <definedName name="_xlnm.Print_Area" localSheetId="5">'遭07'!$A$1:$G$53</definedName>
    <definedName name="_xlnm.Print_Area" localSheetId="6">'遭11'!$A$1:$G$51</definedName>
    <definedName name="_xlnm.Print_Area" localSheetId="7">'遭13'!$A$1:$G$53</definedName>
    <definedName name="_xlnm.Print_Area" localSheetId="8">'日01'!$A$1:$G$53</definedName>
    <definedName name="_xlnm.Print_Area" localSheetId="9">'日01_維持'!$A$1:$G$46</definedName>
    <definedName name="_xlnm.Print_Area" localSheetId="10">'日05'!$A$1:$G$50</definedName>
    <definedName name="_xlnm.Print_Area" localSheetId="11">'日15'!$A$1:$G$52</definedName>
    <definedName name="_xlnm.Print_Area" localSheetId="1">'無01_1'!$A$1:$G$49</definedName>
    <definedName name="_xlnm.Print_Area" localSheetId="2">'無01_2'!$A$1:$G$51</definedName>
  </definedNames>
  <calcPr fullCalcOnLoad="1"/>
</workbook>
</file>

<file path=xl/sharedStrings.xml><?xml version="1.0" encoding="utf-8"?>
<sst xmlns="http://schemas.openxmlformats.org/spreadsheetml/2006/main" count="1086" uniqueCount="280">
  <si>
    <t>パワー名</t>
  </si>
  <si>
    <t>基本</t>
  </si>
  <si>
    <t>呪い</t>
  </si>
  <si>
    <t>戦術的優位</t>
  </si>
  <si>
    <t>通常</t>
  </si>
  <si>
    <t>最接近射撃</t>
  </si>
  <si>
    <t>クリティカル</t>
  </si>
  <si>
    <t>ダメージ</t>
  </si>
  <si>
    <t>エルドリッチ・ブラスト</t>
  </si>
  <si>
    <t>標準アクション</t>
  </si>
  <si>
    <t>目標</t>
  </si>
  <si>
    <t>アクション</t>
  </si>
  <si>
    <t>ウォーロック（全）／攻撃／１　（PHB92）</t>
  </si>
  <si>
    <t>クリーチャー１体</t>
  </si>
  <si>
    <t>攻撃</t>
  </si>
  <si>
    <t>【耐久力】または【魅力】対"反応"</t>
  </si>
  <si>
    <t>ヒット</t>
  </si>
  <si>
    <t>(1d10+【耐久力】または【魅力】修正値)ダメージ</t>
  </si>
  <si>
    <t>特種</t>
  </si>
  <si>
    <t>２１レベルの時点でこのダメージは(2d10+【耐久力】または【魅力】修正値)に増加する。</t>
  </si>
  <si>
    <t>現在値</t>
  </si>
  <si>
    <t>能力値修正</t>
  </si>
  <si>
    <t>筋力</t>
  </si>
  <si>
    <t>耐久力</t>
  </si>
  <si>
    <t>敏捷力</t>
  </si>
  <si>
    <t>知力</t>
  </si>
  <si>
    <t>判断力</t>
  </si>
  <si>
    <t>魅力</t>
  </si>
  <si>
    <t>AC</t>
  </si>
  <si>
    <t>頑健</t>
  </si>
  <si>
    <t>反応</t>
  </si>
  <si>
    <t>意志</t>
  </si>
  <si>
    <t>種別</t>
  </si>
  <si>
    <t>命中計</t>
  </si>
  <si>
    <t>能力</t>
  </si>
  <si>
    <t>修正</t>
  </si>
  <si>
    <t>Lv1/2</t>
  </si>
  <si>
    <t>習熟</t>
  </si>
  <si>
    <t>強化</t>
  </si>
  <si>
    <t>他</t>
  </si>
  <si>
    <t>単純</t>
  </si>
  <si>
    <t>名前</t>
  </si>
  <si>
    <t>クラス</t>
  </si>
  <si>
    <t>Lv</t>
  </si>
  <si>
    <t>ダメージ</t>
  </si>
  <si>
    <t>１D8</t>
  </si>
  <si>
    <t>ボーナス</t>
  </si>
  <si>
    <t>対象</t>
  </si>
  <si>
    <t>追加効果・範囲など</t>
  </si>
  <si>
    <t>クリティカル</t>
  </si>
  <si>
    <t>スピア</t>
  </si>
  <si>
    <t>エルドリッチ・ブラスト</t>
  </si>
  <si>
    <t>ドラゴンフロスト</t>
  </si>
  <si>
    <t>1ｄ10</t>
  </si>
  <si>
    <t>遠隔１０</t>
  </si>
  <si>
    <t>冷気　遠隔１０</t>
  </si>
  <si>
    <t>[無限回]◆[装具]、[秘術]</t>
  </si>
  <si>
    <t>キーワード</t>
  </si>
  <si>
    <t>AP</t>
  </si>
  <si>
    <t>戦術的優位＋AP</t>
  </si>
  <si>
    <t>種類</t>
  </si>
  <si>
    <t>無限回</t>
  </si>
  <si>
    <t>使用者は１レベルの時点で、このパワーによる攻撃に【耐久力】と【魅力】の</t>
  </si>
  <si>
    <t>どちらを用いるのかを決定する。１度選んだなら、後から変更することはできない。</t>
  </si>
  <si>
    <t>このパワーは遠隔基礎攻撃として扱われる。何らかのパワーが使用者に</t>
  </si>
  <si>
    <t>この攻撃のパワーは【光輝】キーワード有するものとして扱う</t>
  </si>
  <si>
    <t>クリティカル</t>
  </si>
  <si>
    <t>ダメージ</t>
  </si>
  <si>
    <t>命中
ロール</t>
  </si>
  <si>
    <t>フューリィ・オヴ・ギベス</t>
  </si>
  <si>
    <t>射程</t>
  </si>
  <si>
    <t>遠隔</t>
  </si>
  <si>
    <t>d</t>
  </si>
  <si>
    <t>ｄ</t>
  </si>
  <si>
    <t>呪い追加ダメージ</t>
  </si>
  <si>
    <t>カイフォンの導き</t>
  </si>
  <si>
    <t>星の輝き</t>
  </si>
  <si>
    <t>※カイフォンの導き</t>
  </si>
  <si>
    <t>★星の輝き</t>
  </si>
  <si>
    <t>↓対象なら「１」</t>
  </si>
  <si>
    <t>タイプ・出典</t>
  </si>
  <si>
    <t>命中ロール＆ダメージ表</t>
  </si>
  <si>
    <t>パワー詳細</t>
  </si>
  <si>
    <t>解説・使い時・他PCとの連携等</t>
  </si>
  <si>
    <r>
      <t>APでの攻撃がヒットしたら</t>
    </r>
    <r>
      <rPr>
        <b/>
        <sz val="14"/>
        <color indexed="8"/>
        <rFont val="ＭＳ Ｐゴシック"/>
        <family val="3"/>
      </rPr>
      <t>継続【光輝】５ダメージ（ST終了）</t>
    </r>
  </si>
  <si>
    <t>クリティカル時</t>
  </si>
  <si>
    <t>攻撃R対象</t>
  </si>
  <si>
    <t>ダメージ対象</t>
  </si>
  <si>
    <t>攻撃Rボーナス</t>
  </si>
  <si>
    <t>ダメージボーナス</t>
  </si>
  <si>
    <t>ここは印刷されませんが、赤字の値の入力で計算が行われます。</t>
  </si>
  <si>
    <t>↓「魅力」か「知力」のみ</t>
  </si>
  <si>
    <t>赤字以外の内容は変更しないでください。</t>
  </si>
  <si>
    <t>呪い追加ダメージ</t>
  </si>
  <si>
    <t>ダイア・レイディアンス</t>
  </si>
  <si>
    <t>ウォーロック（星）／攻撃／１　（PHB92）</t>
  </si>
  <si>
    <t>射程</t>
  </si>
  <si>
    <t>【耐久力】または【魅力】対"頑健"</t>
  </si>
  <si>
    <t>(1d6+【耐久力】または【魅力】修正値)の[光輝]ダメージ</t>
  </si>
  <si>
    <t>２１レベルの時点で最初のダメージおよび追加ダメージは</t>
  </si>
  <si>
    <t>(2d6+【耐久力】または【魅力】修正値)に増加する。</t>
  </si>
  <si>
    <t xml:space="preserve">ソーサラー/攻撃/Lv1　（PHⅡ105） </t>
  </si>
  <si>
    <t xml:space="preserve">[無限回]◆[秘術][装具][冷気] </t>
  </si>
  <si>
    <t xml:space="preserve">【魅力】対“頑健” </t>
  </si>
  <si>
    <t xml:space="preserve">（1d8+【魅力】修正値）の[冷気]ダメージ </t>
  </si>
  <si>
    <t xml:space="preserve">Lv21：（2d8+【魅力】修正値）の[冷気]ダメージ。 </t>
  </si>
  <si>
    <t>グロウ・オヴ・ウルバン</t>
  </si>
  <si>
    <t>遭遇毎</t>
  </si>
  <si>
    <t>ウォーロック（星）／攻撃／１　（Drp50）</t>
  </si>
  <si>
    <t>[遭遇毎]◆[光輝]、[装具]、[秘術]</t>
  </si>
  <si>
    <t>【魅力】対"意志"</t>
  </si>
  <si>
    <t>(2d8+【魅力】修正値)の[光輝]ダメージ。</t>
  </si>
  <si>
    <t>星の契約:この攻撃がヒッ卜したなら、</t>
  </si>
  <si>
    <t>クラウン・オヴ・スターズ</t>
  </si>
  <si>
    <t>一日毎</t>
  </si>
  <si>
    <t>[一日毎]◆[光輝]、[装具]、[秘術]</t>
  </si>
  <si>
    <t>【魅力】対"反応"</t>
  </si>
  <si>
    <t>(2d12+【魅力】修正値)の[光輝]ダメージ。</t>
  </si>
  <si>
    <t>目標が重傷であるなら、目標はさらに使用者の次のターンの終了時まで"盲目状態"となる。</t>
  </si>
  <si>
    <t>維持・マイナー：射程内の目標１体に対して【魅力】対"意志"の攻撃を行なう。</t>
  </si>
  <si>
    <t>ヒッ卜したなら、使用者の【魅力】修正値に等しいダメージを与える。</t>
  </si>
  <si>
    <t>ウォーロック／攻撃／５　（Drp51）</t>
  </si>
  <si>
    <t>[一日毎]◆[恐怖]、[装具]、[秘術]、[力場]</t>
  </si>
  <si>
    <t>"【知力】+2対"反応</t>
  </si>
  <si>
    <t>(3d10+【知力】修正値)ダメージ、</t>
  </si>
  <si>
    <t>目標は(１０＋使用者の【魅力】修正値＋使用者のレベルの半分)に等しい難易度の(軽業〉判定を</t>
  </si>
  <si>
    <t>ミス</t>
  </si>
  <si>
    <t>目標は〈軽業〉判定を行い、失敗すると倒れて"伏せ状態"となる。</t>
  </si>
  <si>
    <t>ウォーロック（星）／攻撃／７　（Drp52）</t>
  </si>
  <si>
    <t>[遭遇毎]◆［恐怖］、［精神］、[装具]、[秘術]</t>
  </si>
  <si>
    <t>【魅力】対"意志"</t>
  </si>
  <si>
    <t>:(1d6+【魅力】修正値)の[精神]ダメージ、</t>
  </si>
  <si>
    <t>トランス・イン・ザ・ガイド・スター</t>
  </si>
  <si>
    <t>スチューデント・オブ・カイフォン／攻撃／１１　（Drp50）</t>
  </si>
  <si>
    <t>:(2d10+【魅力】修正値)の[光輝]ダメージ、</t>
  </si>
  <si>
    <t>ブレイズ･オブ･ウルバン</t>
  </si>
  <si>
    <t>ウォーロック（星）／攻撃／１３　（Drp52）</t>
  </si>
  <si>
    <t>(2d8+【魅力】修正値)の　[光輝]ダメージ、</t>
  </si>
  <si>
    <t>星の契約：この攻撃がヒットしたらなら、</t>
  </si>
  <si>
    <t>命中Rパワー修正</t>
  </si>
  <si>
    <t>ダメージパワー修正</t>
  </si>
  <si>
    <t>ダメージ種別</t>
  </si>
  <si>
    <t>光輝</t>
  </si>
  <si>
    <t>ウォーロック(星)</t>
  </si>
  <si>
    <t>ミカ・マイアリ―</t>
  </si>
  <si>
    <t>冷気</t>
  </si>
  <si>
    <t>精神</t>
  </si>
  <si>
    <t>効果</t>
  </si>
  <si>
    <t>軽業判定の値は手動修正</t>
  </si>
  <si>
    <r>
      <t>目標が</t>
    </r>
    <r>
      <rPr>
        <b/>
        <sz val="11"/>
        <color indexed="10"/>
        <rFont val="ＭＳ Ｐゴシック"/>
        <family val="3"/>
      </rPr>
      <t>次の自分のターンに使用者に近付くような移動を行なったなら</t>
    </r>
    <r>
      <rPr>
        <b/>
        <sz val="11"/>
        <color indexed="8"/>
        <rFont val="ＭＳ Ｐゴシック"/>
        <family val="3"/>
      </rPr>
      <t>、</t>
    </r>
  </si>
  <si>
    <r>
      <rPr>
        <b/>
        <sz val="11"/>
        <color indexed="10"/>
        <rFont val="ＭＳ Ｐゴシック"/>
        <family val="3"/>
      </rPr>
      <t>遠隔基礎攻撃</t>
    </r>
    <r>
      <rPr>
        <sz val="11"/>
        <color theme="1"/>
        <rFont val="Calibri"/>
        <family val="3"/>
      </rPr>
      <t>を行なわせる場合、使用者はこのパワーを使用することが出来る。</t>
    </r>
  </si>
  <si>
    <r>
      <t>このパワーは</t>
    </r>
    <r>
      <rPr>
        <b/>
        <sz val="11"/>
        <color indexed="10"/>
        <rFont val="ＭＳ Ｐゴシック"/>
        <family val="3"/>
      </rPr>
      <t>遠隔基礎攻撃</t>
    </r>
    <r>
      <rPr>
        <sz val="11"/>
        <color theme="1"/>
        <rFont val="Calibri"/>
        <family val="3"/>
      </rPr>
      <t>として扱うことができる</t>
    </r>
  </si>
  <si>
    <r>
      <t>さらに、</t>
    </r>
    <r>
      <rPr>
        <b/>
        <sz val="12"/>
        <color indexed="10"/>
        <rFont val="ＭＳ Ｐゴシック"/>
        <family val="3"/>
      </rPr>
      <t>使用者は目標を1マス押しやる。</t>
    </r>
    <r>
      <rPr>
        <b/>
        <sz val="11"/>
        <color indexed="8"/>
        <rFont val="ＭＳ Ｐゴシック"/>
        <family val="3"/>
      </rPr>
      <t xml:space="preserve"> </t>
    </r>
  </si>
  <si>
    <r>
      <t>目標はこの</t>
    </r>
    <r>
      <rPr>
        <b/>
        <sz val="11"/>
        <color indexed="10"/>
        <rFont val="ＭＳ Ｐゴシック"/>
        <family val="3"/>
      </rPr>
      <t>遭遇の終了時までに行なう次のセーヴィング・スローに－２</t>
    </r>
    <r>
      <rPr>
        <sz val="11"/>
        <color theme="1"/>
        <rFont val="Calibri"/>
        <family val="3"/>
      </rPr>
      <t>のペナルティを受ける。</t>
    </r>
  </si>
  <si>
    <r>
      <t>星の契約：目標は使用者の</t>
    </r>
    <r>
      <rPr>
        <b/>
        <sz val="11"/>
        <color indexed="10"/>
        <rFont val="ＭＳ Ｐゴシック"/>
        <family val="3"/>
      </rPr>
      <t>次のターン終了時まで、意思防御値に-2</t>
    </r>
    <r>
      <rPr>
        <sz val="11"/>
        <color theme="1"/>
        <rFont val="Calibri"/>
        <family val="3"/>
      </rPr>
      <t>のペナルティーを受ける。</t>
    </r>
  </si>
  <si>
    <r>
      <t>目標は</t>
    </r>
    <r>
      <rPr>
        <b/>
        <sz val="11"/>
        <color indexed="10"/>
        <rFont val="ＭＳ Ｐゴシック"/>
        <family val="3"/>
      </rPr>
      <t>次の自分の標準アクションを誰もいないところに1回の基礎攻撃を行う</t>
    </r>
    <r>
      <rPr>
        <sz val="11"/>
        <color theme="1"/>
        <rFont val="Calibri"/>
        <family val="3"/>
      </rPr>
      <t>ために費やす。</t>
    </r>
  </si>
  <si>
    <r>
      <t>使用者は</t>
    </r>
    <r>
      <rPr>
        <b/>
        <sz val="11"/>
        <color indexed="10"/>
        <rFont val="ＭＳ Ｐゴシック"/>
        <family val="3"/>
      </rPr>
      <t>遮蔽（ただし良好な遮蔽を除く）</t>
    </r>
    <r>
      <rPr>
        <sz val="11"/>
        <color theme="1"/>
        <rFont val="Calibri"/>
        <family val="3"/>
      </rPr>
      <t>および</t>
    </r>
  </si>
  <si>
    <r>
      <rPr>
        <b/>
        <sz val="11"/>
        <color indexed="10"/>
        <rFont val="ＭＳ Ｐゴシック"/>
        <family val="3"/>
      </rPr>
      <t>視認困難、完全視認困難のペナルティを無視</t>
    </r>
    <r>
      <rPr>
        <sz val="11"/>
        <color theme="1"/>
        <rFont val="Calibri"/>
        <family val="3"/>
      </rPr>
      <t>する。</t>
    </r>
  </si>
  <si>
    <r>
      <t>使用者は</t>
    </r>
    <r>
      <rPr>
        <b/>
        <sz val="11"/>
        <color indexed="10"/>
        <rFont val="ＭＳ Ｐゴシック"/>
        <family val="3"/>
      </rPr>
      <t>不可視の目標を不可視でないものとして攻撃する</t>
    </r>
    <r>
      <rPr>
        <sz val="11"/>
        <color theme="1"/>
        <rFont val="Calibri"/>
        <family val="3"/>
      </rPr>
      <t>ことが出来る。</t>
    </r>
  </si>
  <si>
    <r>
      <t>目標から</t>
    </r>
    <r>
      <rPr>
        <b/>
        <sz val="11"/>
        <color indexed="10"/>
        <rFont val="ＭＳ Ｐゴシック"/>
        <family val="3"/>
      </rPr>
      <t>５マス以内にいる敵１体を２マス横滑り</t>
    </r>
    <r>
      <rPr>
        <sz val="11"/>
        <color theme="1"/>
        <rFont val="Calibri"/>
        <family val="3"/>
      </rPr>
      <t>させる。</t>
    </r>
  </si>
  <si>
    <r>
      <t>目標は</t>
    </r>
    <r>
      <rPr>
        <b/>
        <sz val="11"/>
        <color indexed="10"/>
        <rFont val="ＭＳ Ｐゴシック"/>
        <family val="3"/>
      </rPr>
      <t>次に行うセーヴィング・スローに－２</t>
    </r>
    <r>
      <rPr>
        <sz val="11"/>
        <color theme="1"/>
        <rFont val="Calibri"/>
        <family val="3"/>
      </rPr>
      <t>のペナルティーを受ける。</t>
    </r>
  </si>
  <si>
    <r>
      <t>　　　　　　　　　　　　　　　　　　　　　　　　　　　　　　　　　　　　　　　　　　　　</t>
    </r>
    <r>
      <rPr>
        <b/>
        <sz val="14"/>
        <color indexed="10"/>
        <rFont val="ＭＳ Ｐゴシック"/>
        <family val="3"/>
      </rPr>
      <t>(別表参照)</t>
    </r>
  </si>
  <si>
    <r>
      <t>クラウン・オヴ・スターズ</t>
    </r>
    <r>
      <rPr>
        <b/>
        <sz val="18"/>
        <color indexed="10"/>
        <rFont val="ＭＳ Ｐゴシック"/>
        <family val="3"/>
      </rPr>
      <t>（維持攻撃分）</t>
    </r>
  </si>
  <si>
    <r>
      <t>目標は</t>
    </r>
    <r>
      <rPr>
        <b/>
        <sz val="11"/>
        <color indexed="10"/>
        <rFont val="ＭＳ Ｐゴシック"/>
        <family val="3"/>
      </rPr>
      <t>自分のターンの開始時に、もう一度〈軽業〉判定</t>
    </r>
    <r>
      <rPr>
        <sz val="11"/>
        <color theme="1"/>
        <rFont val="Calibri"/>
        <family val="3"/>
      </rPr>
      <t>を行い(難易度は上述の通り)、</t>
    </r>
  </si>
  <si>
    <r>
      <t>失敗すると倒れて"伏せ状態"となる</t>
    </r>
    <r>
      <rPr>
        <b/>
        <sz val="11"/>
        <color indexed="10"/>
        <rFont val="ＭＳ Ｐゴシック"/>
        <family val="3"/>
      </rPr>
      <t>(セーヴ・終了)</t>
    </r>
  </si>
  <si>
    <t>目標は1回だけ(1d6+【耐久力】または【魅力】修正値)のダメージを受ける。</t>
  </si>
  <si>
    <t>↓能力値修正</t>
  </si>
  <si>
    <t xml:space="preserve">
</t>
  </si>
  <si>
    <t>　STEP2：押しやるとゲームが盛り上がる時に撃つ　　　</t>
  </si>
  <si>
    <t>　　　　　　　　　　突き落とし</t>
  </si>
  <si>
    <t>　STEP2：残HP３０以下の敵にトドメ</t>
  </si>
  <si>
    <t>　　　　　　　　HPがクソ多い、まだピンピンしている、ミカのターンの直後が相手のターン等</t>
  </si>
  <si>
    <t>　STEP1：他の遭遇毎を使い切ってたら　とりあえず撃つ</t>
  </si>
  <si>
    <t>　STEP２：呪ってる敵が見えなくなったら　とりあえず撃つ</t>
  </si>
  <si>
    <t>　STEP3：伏せ以外のペナルティがついたら　とりあえず撃つ</t>
  </si>
  <si>
    <t>　STEP４：残HP３０以下の敵にトドメ</t>
  </si>
  <si>
    <t>　STEP３：残HP３０以下の敵にトドメ</t>
  </si>
  <si>
    <t>Ver.</t>
  </si>
  <si>
    <t>.</t>
  </si>
  <si>
    <t>近接</t>
  </si>
  <si>
    <t>爆発</t>
  </si>
  <si>
    <t>光輝</t>
  </si>
  <si>
    <t>近接範囲</t>
  </si>
  <si>
    <t>噴射</t>
  </si>
  <si>
    <t>酸</t>
  </si>
  <si>
    <t>遠隔</t>
  </si>
  <si>
    <t>接触</t>
  </si>
  <si>
    <t>死霊</t>
  </si>
  <si>
    <t>遠隔範囲</t>
  </si>
  <si>
    <t>精神</t>
  </si>
  <si>
    <t>電撃</t>
  </si>
  <si>
    <t>毒</t>
  </si>
  <si>
    <t>火</t>
  </si>
  <si>
    <t>雷鳴</t>
  </si>
  <si>
    <t>力場</t>
  </si>
  <si>
    <t>冷気</t>
  </si>
  <si>
    <t>○容赦なき呪い</t>
  </si>
  <si>
    <r>
      <t>君が呪いをかけた１体の</t>
    </r>
    <r>
      <rPr>
        <b/>
        <sz val="14"/>
        <color indexed="10"/>
        <rFont val="ＭＳ Ｐゴシック"/>
        <family val="3"/>
      </rPr>
      <t>敵のHPが０</t>
    </r>
    <r>
      <rPr>
        <sz val="11"/>
        <color theme="1"/>
        <rFont val="Calibri"/>
        <family val="3"/>
      </rPr>
      <t>になった時、</t>
    </r>
  </si>
  <si>
    <r>
      <t>君は１回の</t>
    </r>
    <r>
      <rPr>
        <b/>
        <sz val="14"/>
        <color indexed="10"/>
        <rFont val="ＭＳ Ｐゴシック"/>
        <family val="3"/>
      </rPr>
      <t>FAとして”ウォーロックの呪い”</t>
    </r>
    <r>
      <rPr>
        <sz val="11"/>
        <color theme="1"/>
        <rFont val="Calibri"/>
        <family val="3"/>
      </rPr>
      <t>を使用できる</t>
    </r>
  </si>
  <si>
    <r>
      <t>　STEP1：もう</t>
    </r>
    <r>
      <rPr>
        <b/>
        <sz val="11"/>
        <color indexed="10"/>
        <rFont val="ＭＳ Ｐゴシック"/>
        <family val="3"/>
      </rPr>
      <t>無限回しか残ってない</t>
    </r>
    <r>
      <rPr>
        <sz val="11"/>
        <color theme="1"/>
        <rFont val="Calibri"/>
        <family val="3"/>
      </rPr>
      <t>　そんな時に撃つ</t>
    </r>
  </si>
  <si>
    <t>　　　　　　　門設置後に撃つよりかは当てた直後に設置してもらうのがベターか？</t>
  </si>
  <si>
    <t>　　　　　　　門の最適な状況を理解しておく必要あり</t>
  </si>
  <si>
    <r>
      <t>　STEP１：言われるがまま撃つ　(反応よりも</t>
    </r>
    <r>
      <rPr>
        <b/>
        <sz val="11"/>
        <color indexed="10"/>
        <rFont val="ＭＳ Ｐゴシック"/>
        <family val="3"/>
      </rPr>
      <t>頑健低そう</t>
    </r>
    <r>
      <rPr>
        <sz val="11"/>
        <color theme="1"/>
        <rFont val="Calibri"/>
        <family val="3"/>
      </rPr>
      <t>な輩に)</t>
    </r>
  </si>
  <si>
    <r>
      <t>　　　　　　むしろ</t>
    </r>
    <r>
      <rPr>
        <b/>
        <sz val="11"/>
        <color indexed="10"/>
        <rFont val="ＭＳ Ｐゴシック"/>
        <family val="3"/>
      </rPr>
      <t>他のパワーの使いどころを要チェック！</t>
    </r>
    <r>
      <rPr>
        <sz val="11"/>
        <color theme="1"/>
        <rFont val="Calibri"/>
        <family val="3"/>
      </rPr>
      <t>　消去法的に消極的に使うのがベスト</t>
    </r>
  </si>
  <si>
    <r>
      <t>　STEP３：</t>
    </r>
    <r>
      <rPr>
        <b/>
        <sz val="11"/>
        <color indexed="10"/>
        <rFont val="ＭＳ Ｐゴシック"/>
        <family val="3"/>
      </rPr>
      <t>範囲攻撃が得意な輩</t>
    </r>
    <r>
      <rPr>
        <sz val="11"/>
        <color theme="1"/>
        <rFont val="Calibri"/>
        <family val="3"/>
      </rPr>
      <t>に撃つ</t>
    </r>
  </si>
  <si>
    <t>　AP使うかはビミョーだが、無限回よりも使う価値はアリか？</t>
  </si>
  <si>
    <t>　STEP2：他の遭遇毎の使いどころじゃなかったら　(温存する理由全くなし）</t>
  </si>
  <si>
    <t>　STEP１：強制移動でゲームが盛り上がる時に撃つ　　　</t>
  </si>
  <si>
    <r>
      <t>　STEP1：</t>
    </r>
    <r>
      <rPr>
        <b/>
        <sz val="11"/>
        <color indexed="10"/>
        <rFont val="ＭＳ Ｐゴシック"/>
        <family val="3"/>
      </rPr>
      <t>重傷に期待せず</t>
    </r>
    <r>
      <rPr>
        <sz val="11"/>
        <color theme="1"/>
        <rFont val="Calibri"/>
        <family val="3"/>
      </rPr>
      <t>、とっとと殺りたいピンピンしてるというか体力満タンの奴に撃つ</t>
    </r>
  </si>
  <si>
    <r>
      <t>維持・マイナー：射程内の目標１体に対して【魅力】対"</t>
    </r>
    <r>
      <rPr>
        <b/>
        <sz val="11"/>
        <color indexed="10"/>
        <rFont val="ＭＳ Ｐゴシック"/>
        <family val="3"/>
      </rPr>
      <t>意志</t>
    </r>
    <r>
      <rPr>
        <sz val="11"/>
        <color theme="1"/>
        <rFont val="Calibri"/>
        <family val="3"/>
      </rPr>
      <t>"の攻撃を行なう。</t>
    </r>
  </si>
  <si>
    <t>　　　マイナー維持＋待機で　1ラウンドに2回呪いダメージを叩き込め！！</t>
  </si>
  <si>
    <r>
      <t>半減ダメージ。</t>
    </r>
    <r>
      <rPr>
        <b/>
        <sz val="11"/>
        <color indexed="10"/>
        <rFont val="ＭＳ Ｐゴシック"/>
        <family val="3"/>
      </rPr>
      <t>(追加ダメージ無し)</t>
    </r>
  </si>
  <si>
    <r>
      <t>　STEP１：敵がコケたら面白そうな時に撃つ　（</t>
    </r>
    <r>
      <rPr>
        <b/>
        <sz val="11"/>
        <color indexed="10"/>
        <rFont val="ＭＳ Ｐゴシック"/>
        <family val="3"/>
      </rPr>
      <t>あまり期待しないように</t>
    </r>
    <r>
      <rPr>
        <sz val="11"/>
        <color theme="1"/>
        <rFont val="Calibri"/>
        <family val="3"/>
      </rPr>
      <t>）</t>
    </r>
  </si>
  <si>
    <t>ボーナス</t>
  </si>
  <si>
    <t>近接基礎</t>
  </si>
  <si>
    <t>遠隔 ｳｫｰﾛｯｸ（魅力）</t>
  </si>
  <si>
    <t>遠隔 ｳｫｰﾛｯｸ（知力）</t>
  </si>
  <si>
    <t>遠隔 ｿｰｻﾗｰ（魅力）</t>
  </si>
  <si>
    <t>HP</t>
  </si>
  <si>
    <t>パワー</t>
  </si>
  <si>
    <t>通常</t>
  </si>
  <si>
    <r>
      <t>行い、</t>
    </r>
    <r>
      <rPr>
        <b/>
        <sz val="11"/>
        <color indexed="10"/>
        <rFont val="ＭＳ Ｐゴシック"/>
        <family val="3"/>
      </rPr>
      <t>失敗すると倒れて"伏せ状態"</t>
    </r>
    <r>
      <rPr>
        <sz val="11"/>
        <color theme="1"/>
        <rFont val="Calibri"/>
        <family val="3"/>
      </rPr>
      <t>となる。　　　　</t>
    </r>
    <r>
      <rPr>
        <b/>
        <sz val="14"/>
        <color indexed="10"/>
        <rFont val="ＭＳ Ｐゴシック"/>
        <family val="3"/>
      </rPr>
      <t>難易度：23の軽業判定</t>
    </r>
  </si>
  <si>
    <t>ウィスパーズ・オヴ・ザ・ヴォイド</t>
  </si>
  <si>
    <t>ウォーロック／攻撃／1５　（HoFK88）</t>
  </si>
  <si>
    <t>[一日毎]◆[精神]、[装具]、[秘術]、[魅了]</t>
  </si>
  <si>
    <t>ミス</t>
  </si>
  <si>
    <t>"【魅力】対"意志</t>
  </si>
  <si>
    <t>精神</t>
  </si>
  <si>
    <r>
      <t>この効果が終了するまで、目標は</t>
    </r>
    <r>
      <rPr>
        <b/>
        <sz val="11"/>
        <color indexed="10"/>
        <rFont val="ＭＳ Ｐゴシック"/>
        <family val="3"/>
      </rPr>
      <t>自身のT開始時に１ｄ６</t>
    </r>
    <r>
      <rPr>
        <sz val="11"/>
        <color theme="1"/>
        <rFont val="Calibri"/>
        <family val="3"/>
      </rPr>
      <t>をし、</t>
    </r>
  </si>
  <si>
    <r>
      <t>そのTの</t>
    </r>
    <r>
      <rPr>
        <b/>
        <sz val="11"/>
        <color indexed="10"/>
        <rFont val="ＭＳ Ｐゴシック"/>
        <family val="3"/>
      </rPr>
      <t>標準アクションで何を行うか決定</t>
    </r>
    <r>
      <rPr>
        <sz val="11"/>
        <color theme="1"/>
        <rFont val="Calibri"/>
        <family val="3"/>
      </rPr>
      <t>する。</t>
    </r>
  </si>
  <si>
    <t>　１～２：何もしない</t>
  </si>
  <si>
    <r>
      <t>　３～４：</t>
    </r>
    <r>
      <rPr>
        <sz val="11"/>
        <rFont val="ＭＳ Ｐゴシック"/>
        <family val="3"/>
      </rPr>
      <t>目標自身から見える</t>
    </r>
    <r>
      <rPr>
        <b/>
        <sz val="11"/>
        <color indexed="10"/>
        <rFont val="ＭＳ Ｐゴシック"/>
        <family val="3"/>
      </rPr>
      <t>最も近い</t>
    </r>
    <r>
      <rPr>
        <sz val="11"/>
        <rFont val="ＭＳ Ｐゴシック"/>
        <family val="3"/>
      </rPr>
      <t>クリーチャーに対して</t>
    </r>
    <r>
      <rPr>
        <b/>
        <sz val="11"/>
        <color indexed="10"/>
        <rFont val="ＭＳ Ｐゴシック"/>
        <family val="3"/>
      </rPr>
      <t>突撃</t>
    </r>
    <r>
      <rPr>
        <sz val="11"/>
        <rFont val="ＭＳ Ｐゴシック"/>
        <family val="3"/>
      </rPr>
      <t>または</t>
    </r>
    <r>
      <rPr>
        <b/>
        <sz val="11"/>
        <color indexed="10"/>
        <rFont val="ＭＳ Ｐゴシック"/>
        <family val="3"/>
      </rPr>
      <t>近接基礎攻撃</t>
    </r>
    <r>
      <rPr>
        <sz val="11"/>
        <rFont val="ＭＳ Ｐゴシック"/>
        <family val="3"/>
      </rPr>
      <t>を1回行う</t>
    </r>
  </si>
  <si>
    <r>
      <t>　５～６：使用者が選んだ</t>
    </r>
    <r>
      <rPr>
        <sz val="11"/>
        <rFont val="ＭＳ Ｐゴシック"/>
        <family val="3"/>
      </rPr>
      <t>クリーチャー１体に対して、</t>
    </r>
    <r>
      <rPr>
        <b/>
        <sz val="11"/>
        <color indexed="10"/>
        <rFont val="ＭＳ Ｐゴシック"/>
        <family val="3"/>
      </rPr>
      <t>突撃</t>
    </r>
    <r>
      <rPr>
        <sz val="11"/>
        <rFont val="ＭＳ Ｐゴシック"/>
        <family val="3"/>
      </rPr>
      <t>または</t>
    </r>
    <r>
      <rPr>
        <b/>
        <sz val="11"/>
        <color indexed="10"/>
        <rFont val="ＭＳ Ｐゴシック"/>
        <family val="3"/>
      </rPr>
      <t>遠隔基礎攻撃</t>
    </r>
    <r>
      <rPr>
        <sz val="11"/>
        <rFont val="ＭＳ Ｐゴシック"/>
        <family val="3"/>
      </rPr>
      <t>を1回行う</t>
    </r>
  </si>
  <si>
    <r>
      <t>半減ダメージ、目標は</t>
    </r>
    <r>
      <rPr>
        <b/>
        <sz val="11"/>
        <color indexed="10"/>
        <rFont val="ＭＳ Ｐゴシック"/>
        <family val="3"/>
      </rPr>
      <t>自T終まで幻惑状態</t>
    </r>
    <r>
      <rPr>
        <sz val="11"/>
        <color theme="1"/>
        <rFont val="Calibri"/>
        <family val="3"/>
      </rPr>
      <t>になる。</t>
    </r>
  </si>
  <si>
    <t>　APが余ってたら使ってもイイが、そもそも余らせずに別のパワーで使うべき</t>
  </si>
  <si>
    <r>
      <t>【恐怖】【光輝】キーワードパワー使用時は</t>
    </r>
    <r>
      <rPr>
        <b/>
        <sz val="16"/>
        <color indexed="8"/>
        <rFont val="ＭＳ Ｐゴシック"/>
        <family val="3"/>
      </rPr>
      <t>１８～２０</t>
    </r>
    <r>
      <rPr>
        <sz val="11"/>
        <color theme="1"/>
        <rFont val="Calibri"/>
        <family val="3"/>
      </rPr>
      <t>でクリティカル</t>
    </r>
  </si>
  <si>
    <t>[無限回]◆[恐怖]、[光輝]、[装具]、[秘術]</t>
  </si>
  <si>
    <r>
      <t>　　すること。使用者はこの</t>
    </r>
    <r>
      <rPr>
        <b/>
        <sz val="11"/>
        <color indexed="10"/>
        <rFont val="ＭＳ Ｐゴシック"/>
        <family val="3"/>
      </rPr>
      <t>遭遇終了まで</t>
    </r>
    <r>
      <rPr>
        <sz val="11"/>
        <color theme="1"/>
        <rFont val="Calibri"/>
        <family val="3"/>
      </rPr>
      <t>選択した種別に対する</t>
    </r>
    <r>
      <rPr>
        <b/>
        <sz val="11"/>
        <color indexed="10"/>
        <rFont val="ＭＳ Ｐゴシック"/>
        <family val="3"/>
      </rPr>
      <t>抵抗５</t>
    </r>
    <r>
      <rPr>
        <sz val="11"/>
        <color theme="1"/>
        <rFont val="Calibri"/>
        <family val="3"/>
      </rPr>
      <t>を得る。</t>
    </r>
  </si>
  <si>
    <t>★：デーモン・スキン・タトゥー（宝88）</t>
  </si>
  <si>
    <r>
      <t>　　使用者が追加のアクションを得るために</t>
    </r>
    <r>
      <rPr>
        <b/>
        <sz val="11"/>
        <color indexed="10"/>
        <rFont val="ＭＳ Ｐゴシック"/>
        <family val="3"/>
      </rPr>
      <t>APを消費した際、[酸][電撃][火][雷鳴][冷気]から１つを選択</t>
    </r>
  </si>
  <si>
    <t>　　　　　　　例：　つかみ解除</t>
  </si>
  <si>
    <r>
      <t xml:space="preserve">　  </t>
    </r>
    <r>
      <rPr>
        <b/>
        <sz val="14"/>
        <color indexed="10"/>
        <rFont val="ＭＳ Ｐゴシック"/>
        <family val="3"/>
      </rPr>
      <t>APで撃つ価値全くなし</t>
    </r>
  </si>
  <si>
    <t>　STEP2：ペナルティがキツ過ぎる時 ダメ元で撃つ</t>
  </si>
  <si>
    <t>　STEP3：リョウの門とコンボの余地あり</t>
  </si>
  <si>
    <t>　STEP4：意志よりも頑健が圧倒的に低い敵には遭遇毎よりこちらを優先してOK。(ないだろうけどね)</t>
  </si>
  <si>
    <r>
      <t>　STEP1：主体性ゼロ　言われるがまま撃つ （</t>
    </r>
    <r>
      <rPr>
        <b/>
        <sz val="11"/>
        <color indexed="10"/>
        <rFont val="ＭＳ Ｐゴシック"/>
        <family val="3"/>
      </rPr>
      <t>反応低そう</t>
    </r>
    <r>
      <rPr>
        <sz val="11"/>
        <color theme="1"/>
        <rFont val="Calibri"/>
        <family val="3"/>
      </rPr>
      <t>な輩に）</t>
    </r>
  </si>
  <si>
    <t>　　　　　　　　　　敵をダンゴに (範囲攻撃の的等)</t>
  </si>
  <si>
    <t>　　　　　　　　　　創造物にくっつけ (後付け)</t>
  </si>
  <si>
    <r>
      <t>　STEP１：他の遭遇毎、一日毎のチャンスでない時にとりあえず撃つ （</t>
    </r>
    <r>
      <rPr>
        <b/>
        <sz val="11"/>
        <color indexed="10"/>
        <rFont val="ＭＳ Ｐゴシック"/>
        <family val="3"/>
      </rPr>
      <t>射程に注意</t>
    </r>
    <r>
      <rPr>
        <sz val="11"/>
        <color theme="1"/>
        <rFont val="Calibri"/>
        <family val="3"/>
      </rPr>
      <t>）</t>
    </r>
  </si>
  <si>
    <t>　　　　　　わざわざ温存する理由は全くないが、他のパワーを差し置いて使う理由も全くない</t>
  </si>
  <si>
    <r>
      <t>　STEP2：残HP20以下の敵へのトドメ  (</t>
    </r>
    <r>
      <rPr>
        <b/>
        <sz val="11"/>
        <color indexed="10"/>
        <rFont val="ＭＳ Ｐゴシック"/>
        <family val="3"/>
      </rPr>
      <t>クリティカルの必要全くなし</t>
    </r>
    <r>
      <rPr>
        <sz val="11"/>
        <color theme="1"/>
        <rFont val="Calibri"/>
        <family val="3"/>
      </rPr>
      <t>)</t>
    </r>
  </si>
  <si>
    <r>
      <t>　STEP3：残HP20以下の敵のトドメ  (</t>
    </r>
    <r>
      <rPr>
        <b/>
        <sz val="11"/>
        <color indexed="10"/>
        <rFont val="ＭＳ Ｐゴシック"/>
        <family val="3"/>
      </rPr>
      <t>クリティカルの必要全くなし</t>
    </r>
    <r>
      <rPr>
        <sz val="11"/>
        <color theme="1"/>
        <rFont val="Calibri"/>
        <family val="3"/>
      </rPr>
      <t>)</t>
    </r>
  </si>
  <si>
    <t>　STEP3：ハルト、リチャードのST効果(1日毎)とコンボの余地はアリ</t>
  </si>
  <si>
    <t>　　　　　　　　ただし、もともと継続ダメージは1回入れば御の字なので温存の理由としては・・・</t>
  </si>
  <si>
    <r>
      <t>　STEP1：一度は必ず</t>
    </r>
    <r>
      <rPr>
        <b/>
        <sz val="11"/>
        <color indexed="10"/>
        <rFont val="ＭＳ Ｐゴシック"/>
        <family val="3"/>
      </rPr>
      <t>自分のターンを迎える敵</t>
    </r>
    <r>
      <rPr>
        <sz val="11"/>
        <color theme="1"/>
        <rFont val="Calibri"/>
        <family val="3"/>
      </rPr>
      <t>に撃つ　その時以外は使用厳禁！</t>
    </r>
  </si>
  <si>
    <t>　　　　　　　　呪いダメージがついでに入るなら、時間稼ぎの為だけに一発かましておくのも全然アリ</t>
  </si>
  <si>
    <t xml:space="preserve"> APは使う余地アリ。　元々ピンピンしてる奴に撃つつもりだから効果が大きい。　期待◎！</t>
  </si>
  <si>
    <r>
      <t xml:space="preserve"> そもそも、APの使い時とカブる。　</t>
    </r>
    <r>
      <rPr>
        <b/>
        <sz val="11"/>
        <color indexed="10"/>
        <rFont val="ＭＳ Ｐゴシック"/>
        <family val="3"/>
      </rPr>
      <t>コレを撃って外れたら即座にAP</t>
    </r>
    <r>
      <rPr>
        <sz val="11"/>
        <color theme="1"/>
        <rFont val="Calibri"/>
        <family val="3"/>
      </rPr>
      <t>で一日毎撃つぐらいがいいかも？</t>
    </r>
  </si>
  <si>
    <t>　STEP４：ハルト、リチャードのST効果(1日毎)とコンボの余地アリ</t>
  </si>
  <si>
    <t>　STEP５：味方が突き落とす直前に撃つ　（危険ST成功率を下げるために）</t>
  </si>
  <si>
    <r>
      <t>　　　　　　　</t>
    </r>
    <r>
      <rPr>
        <b/>
        <sz val="11"/>
        <color indexed="10"/>
        <rFont val="ＭＳ Ｐゴシック"/>
        <family val="3"/>
      </rPr>
      <t>状況的にその場にいて欲しくないけど、すぐには倒せない敵が近くにいるとき</t>
    </r>
  </si>
  <si>
    <t>　　　　　　　　例：　つかみ解除、突き落とし、呪える位置へ強制移動、創造物にくっつけ、敵をダンゴに</t>
  </si>
  <si>
    <r>
      <t>　STEP2：呪いの都合などで集中攻撃に参加できない時、</t>
    </r>
    <r>
      <rPr>
        <b/>
        <sz val="11"/>
        <color indexed="10"/>
        <rFont val="ＭＳ Ｐゴシック"/>
        <family val="3"/>
      </rPr>
      <t>１人で敵の全HPを削りきるつもりで撃つ！</t>
    </r>
  </si>
  <si>
    <r>
      <t>　　　　　　　</t>
    </r>
    <r>
      <rPr>
        <b/>
        <sz val="11"/>
        <color indexed="10"/>
        <rFont val="ＭＳ Ｐゴシック"/>
        <family val="3"/>
      </rPr>
      <t>マイナー維持＋待機</t>
    </r>
    <r>
      <rPr>
        <sz val="11"/>
        <color theme="1"/>
        <rFont val="Calibri"/>
        <family val="3"/>
      </rPr>
      <t>で　1ラウンドに</t>
    </r>
    <r>
      <rPr>
        <b/>
        <sz val="11"/>
        <color indexed="10"/>
        <rFont val="ＭＳ Ｐゴシック"/>
        <family val="3"/>
      </rPr>
      <t>2回</t>
    </r>
    <r>
      <rPr>
        <sz val="11"/>
        <color theme="1"/>
        <rFont val="Calibri"/>
        <family val="3"/>
      </rPr>
      <t>呪いダメージを叩き込め！</t>
    </r>
  </si>
  <si>
    <r>
      <t>　　　　　　　　　　　　　　　　　　　　　　　　　　　　　　　　　　　　　　　</t>
    </r>
    <r>
      <rPr>
        <b/>
        <sz val="14"/>
        <color indexed="10"/>
        <rFont val="HGP創英角ｺﾞｼｯｸUB"/>
        <family val="3"/>
      </rPr>
      <t>幻惑だけはマジ勘弁</t>
    </r>
  </si>
  <si>
    <t>　　　　　　これぐらいでないとマイナー維持する前に敵が死んでしまうが、こういう時はAPも使い時</t>
  </si>
  <si>
    <t>　STEP3：重傷だけど　まだトドメは無理な相手へのダメ押し　（遭遇毎使い切ってたらアリ？）</t>
  </si>
  <si>
    <r>
      <t>　</t>
    </r>
    <r>
      <rPr>
        <b/>
        <sz val="11"/>
        <color indexed="10"/>
        <rFont val="ＭＳ Ｐゴシック"/>
        <family val="3"/>
      </rPr>
      <t>APの攻撃が外れたら、残りの標準アクションでコレ</t>
    </r>
    <r>
      <rPr>
        <sz val="11"/>
        <color theme="1"/>
        <rFont val="Calibri"/>
        <family val="3"/>
      </rPr>
      <t>みたいな感じの使い方がいいかも</t>
    </r>
  </si>
  <si>
    <r>
      <t>　STEP2：反応が低い敵に撃つ　(</t>
    </r>
    <r>
      <rPr>
        <b/>
        <sz val="11"/>
        <color indexed="10"/>
        <rFont val="ＭＳ Ｐゴシック"/>
        <family val="3"/>
      </rPr>
      <t>ダメージ重視</t>
    </r>
    <r>
      <rPr>
        <sz val="11"/>
        <color theme="1"/>
        <rFont val="Calibri"/>
        <family val="3"/>
      </rPr>
      <t>)　　　でも、吉本新喜劇状態になると楽しいよねｗ</t>
    </r>
  </si>
  <si>
    <r>
      <t>　コケたら命中が下がるので、</t>
    </r>
    <r>
      <rPr>
        <b/>
        <sz val="11"/>
        <color indexed="10"/>
        <rFont val="ＭＳ Ｐゴシック"/>
        <family val="3"/>
      </rPr>
      <t>APで撃たない方がいい</t>
    </r>
    <r>
      <rPr>
        <sz val="11"/>
        <color theme="1"/>
        <rFont val="Calibri"/>
        <family val="3"/>
      </rPr>
      <t>　　AP後の待機で使うのはアリかも</t>
    </r>
  </si>
  <si>
    <r>
      <t>　　　　　　　　　　　　　　　　　　　　　　　</t>
    </r>
  </si>
  <si>
    <r>
      <t>解説・使い時・他PCとの連携等　　　</t>
    </r>
    <r>
      <rPr>
        <b/>
        <sz val="11"/>
        <color indexed="10"/>
        <rFont val="ＭＳ Ｐゴシック"/>
        <family val="3"/>
      </rPr>
      <t>半減ダメージ注意！</t>
    </r>
    <r>
      <rPr>
        <b/>
        <sz val="11"/>
        <color indexed="8"/>
        <rFont val="ＭＳ Ｐゴシック"/>
        <family val="3"/>
      </rPr>
      <t>　</t>
    </r>
    <r>
      <rPr>
        <sz val="11"/>
        <color theme="1"/>
        <rFont val="Calibri"/>
        <family val="3"/>
      </rPr>
      <t>呪い予告致命等</t>
    </r>
    <r>
      <rPr>
        <b/>
        <sz val="11"/>
        <color indexed="10"/>
        <rFont val="ＭＳ Ｐゴシック"/>
        <family val="3"/>
      </rPr>
      <t>追加ダメージ</t>
    </r>
    <r>
      <rPr>
        <sz val="11"/>
        <color theme="1"/>
        <rFont val="Calibri"/>
        <family val="3"/>
      </rPr>
      <t>は乗らない</t>
    </r>
  </si>
  <si>
    <r>
      <t>君が呪いをかけた１体の</t>
    </r>
    <r>
      <rPr>
        <b/>
        <sz val="14"/>
        <color indexed="10"/>
        <rFont val="ＭＳ Ｐゴシック"/>
        <family val="3"/>
      </rPr>
      <t>敵のHPが０</t>
    </r>
    <r>
      <rPr>
        <sz val="11"/>
        <color theme="1"/>
        <rFont val="Calibri"/>
        <family val="3"/>
      </rPr>
      <t>になった時、</t>
    </r>
    <r>
      <rPr>
        <b/>
        <sz val="14"/>
        <color indexed="10"/>
        <rFont val="ＭＳ Ｐゴシック"/>
        <family val="3"/>
      </rPr>
      <t>FAとして”ウォーロックの呪い”</t>
    </r>
  </si>
  <si>
    <t>　　　　　　　　残りの標準アクションは待機で攻撃して、コッチでは集中攻撃に参加</t>
  </si>
  <si>
    <t>ファー・レルム・ファンタズム</t>
  </si>
  <si>
    <t>ＡＰを使って撃つ以外、選択肢は無し！　残りの標準アクションで待機したいので幻惑には注意！</t>
  </si>
  <si>
    <t>　STEP２：ファー・レルム・ファンタズムをハズしたら　即座にＡＰで同じ敵に撃つ　⇒　幻惑中でもＯＫ！</t>
  </si>
  <si>
    <r>
      <t>　STEP１：</t>
    </r>
    <r>
      <rPr>
        <b/>
        <sz val="11"/>
        <color indexed="10"/>
        <rFont val="ＭＳ Ｐゴシック"/>
        <family val="3"/>
      </rPr>
      <t>範囲攻撃が得意な輩（特にボス級）</t>
    </r>
    <r>
      <rPr>
        <sz val="11"/>
        <color theme="1"/>
        <rFont val="Calibri"/>
        <family val="3"/>
      </rPr>
      <t>にＡＰでいきなり撃つ　⇒　ただの時間稼ぎ</t>
    </r>
  </si>
  <si>
    <r>
      <t>　STEP２：グラスター(</t>
    </r>
    <r>
      <rPr>
        <b/>
        <sz val="11"/>
        <color indexed="10"/>
        <rFont val="ＭＳ Ｐゴシック"/>
        <family val="3"/>
      </rPr>
      <t>マーク全般</t>
    </r>
    <r>
      <rPr>
        <sz val="11"/>
        <color theme="1"/>
        <rFont val="Calibri"/>
        <family val="3"/>
      </rPr>
      <t>)と コンボの余地アリ</t>
    </r>
  </si>
  <si>
    <r>
      <t>(4d6+【魅力】修正値)[精神]ダメージ　目標は</t>
    </r>
    <r>
      <rPr>
        <b/>
        <sz val="11"/>
        <color indexed="10"/>
        <rFont val="ＭＳ Ｐゴシック"/>
        <family val="3"/>
      </rPr>
      <t>幻惑状態</t>
    </r>
    <r>
      <rPr>
        <sz val="11"/>
        <color theme="1"/>
        <rFont val="Calibri"/>
        <family val="3"/>
      </rPr>
      <t>になる</t>
    </r>
    <r>
      <rPr>
        <b/>
        <sz val="11"/>
        <color indexed="10"/>
        <rFont val="ＭＳ Ｐゴシック"/>
        <family val="3"/>
      </rPr>
      <t>（ST終）</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</si>
</sst>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4"/>
      <color indexed="8"/>
      <name val="ＭＳ Ｐゴシック"/>
      <family val="3"/>
    </font>
    <font>
      <b/>
      <sz val="16"/>
      <color indexed="8"/>
      <name val="ＭＳ Ｐゴシック"/>
      <family val="3"/>
    </font>
    <font>
      <b/>
      <sz val="14"/>
      <color indexed="10"/>
      <name val="ＭＳ Ｐゴシック"/>
      <family val="3"/>
    </font>
    <font>
      <b/>
      <sz val="11"/>
      <color indexed="10"/>
      <name val="ＭＳ Ｐゴシック"/>
      <family val="3"/>
    </font>
    <font>
      <b/>
      <sz val="12"/>
      <color indexed="10"/>
      <name val="ＭＳ Ｐゴシック"/>
      <family val="3"/>
    </font>
    <font>
      <b/>
      <sz val="18"/>
      <color indexed="10"/>
      <name val="ＭＳ Ｐゴシック"/>
      <family val="3"/>
    </font>
    <font>
      <sz val="11"/>
      <name val="ＭＳ Ｐゴシック"/>
      <family val="3"/>
    </font>
    <font>
      <b/>
      <sz val="14"/>
      <color indexed="10"/>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name val="ＭＳ Ｐゴシック"/>
      <family val="3"/>
    </font>
    <font>
      <b/>
      <sz val="10"/>
      <color indexed="9"/>
      <name val="ＭＳ Ｐゴシック"/>
      <family val="3"/>
    </font>
    <font>
      <sz val="14"/>
      <color indexed="9"/>
      <name val="ＭＳ Ｐゴシック"/>
      <family val="3"/>
    </font>
    <font>
      <b/>
      <sz val="18"/>
      <color indexed="9"/>
      <name val="ＭＳ Ｐゴシック"/>
      <family val="3"/>
    </font>
    <font>
      <b/>
      <sz val="8"/>
      <color indexed="8"/>
      <name val="ＭＳ Ｐゴシック"/>
      <family val="3"/>
    </font>
    <font>
      <b/>
      <sz val="14"/>
      <color indexed="10"/>
      <name val="HGPｺﾞｼｯｸE"/>
      <family val="3"/>
    </font>
    <font>
      <sz val="14"/>
      <color indexed="8"/>
      <name val="ＭＳ Ｐゴシック"/>
      <family val="3"/>
    </font>
    <font>
      <sz val="11"/>
      <color indexed="8"/>
      <name val="HGP創英角ｺﾞｼｯｸUB"/>
      <family val="3"/>
    </font>
    <font>
      <b/>
      <sz val="11"/>
      <color indexed="10"/>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10"/>
      <name val="Calibri"/>
      <family val="3"/>
    </font>
    <font>
      <b/>
      <sz val="10"/>
      <color theme="0"/>
      <name val="Calibri"/>
      <family val="3"/>
    </font>
    <font>
      <sz val="14"/>
      <color theme="0"/>
      <name val="Calibri"/>
      <family val="3"/>
    </font>
    <font>
      <b/>
      <sz val="18"/>
      <color theme="0"/>
      <name val="Calibri"/>
      <family val="3"/>
    </font>
    <font>
      <b/>
      <sz val="14"/>
      <color rgb="FFFF0000"/>
      <name val="Calibri"/>
      <family val="3"/>
    </font>
    <font>
      <b/>
      <sz val="8"/>
      <color theme="1"/>
      <name val="Calibri"/>
      <family val="3"/>
    </font>
    <font>
      <sz val="11"/>
      <name val="Calibri"/>
      <family val="3"/>
    </font>
    <font>
      <b/>
      <sz val="14"/>
      <color rgb="FFFF0000"/>
      <name val="HGPｺﾞｼｯｸE"/>
      <family val="3"/>
    </font>
    <font>
      <sz val="14"/>
      <color theme="1"/>
      <name val="Calibri"/>
      <family val="3"/>
    </font>
    <font>
      <b/>
      <sz val="11"/>
      <color rgb="FFFF0000"/>
      <name val="Calibri"/>
      <family val="3"/>
    </font>
    <font>
      <sz val="11"/>
      <color theme="1"/>
      <name val="HGP創英角ｺﾞｼｯｸUB"/>
      <family val="3"/>
    </font>
    <font>
      <b/>
      <sz val="11"/>
      <color rgb="FFFF0000"/>
      <name val="HGPｺﾞｼｯｸE"/>
      <family val="3"/>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theme="9" tint="0.3999499976634979"/>
        <bgColor indexed="64"/>
      </patternFill>
    </fill>
    <fill>
      <patternFill patternType="solid">
        <fgColor theme="5" tint="0.5999600291252136"/>
        <bgColor indexed="64"/>
      </patternFill>
    </fill>
    <fill>
      <patternFill patternType="solid">
        <fgColor theme="5" tint="-0.24993999302387238"/>
        <bgColor indexed="64"/>
      </patternFill>
    </fill>
    <fill>
      <patternFill patternType="solid">
        <fgColor theme="9" tint="-0.24993999302387238"/>
        <bgColor indexed="64"/>
      </patternFill>
    </fill>
    <fill>
      <patternFill patternType="solid">
        <fgColor theme="3" tint="-0.24997000396251678"/>
        <bgColor indexed="64"/>
      </patternFill>
    </fill>
    <fill>
      <patternFill patternType="solid">
        <fgColor rgb="FFFFFF00"/>
        <bgColor indexed="64"/>
      </patternFill>
    </fill>
    <fill>
      <patternFill patternType="solid">
        <fgColor theme="0" tint="-0.149959996342659"/>
        <bgColor indexed="64"/>
      </patternFill>
    </fill>
    <fill>
      <patternFill patternType="solid">
        <fgColor rgb="FF008000"/>
        <bgColor indexed="64"/>
      </patternFill>
    </fill>
    <fill>
      <patternFill patternType="solid">
        <fgColor rgb="FFFF0000"/>
        <bgColor indexed="64"/>
      </patternFill>
    </fill>
    <fill>
      <patternFill patternType="solid">
        <fgColor theme="1" tint="0.34999001026153564"/>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A61D02"/>
        <bgColor indexed="64"/>
      </patternFill>
    </fill>
    <fill>
      <patternFill patternType="solid">
        <fgColor theme="0" tint="-0.1499900072813034"/>
        <bgColor indexed="64"/>
      </patternFill>
    </fill>
    <fill>
      <patternFill patternType="solid">
        <fgColor rgb="FFBC0000"/>
        <bgColor indexed="64"/>
      </patternFill>
    </fill>
    <fill>
      <patternFill patternType="solid">
        <fgColor theme="5" tint="-0.24997000396251678"/>
        <bgColor indexed="64"/>
      </patternFill>
    </fill>
    <fill>
      <patternFill patternType="solid">
        <fgColor theme="9" tint="-0.24997000396251678"/>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medium"/>
      <bottom/>
    </border>
    <border>
      <left style="thin"/>
      <right style="hair"/>
      <top style="medium"/>
      <bottom style="thin"/>
    </border>
    <border>
      <left/>
      <right style="thin"/>
      <top style="medium"/>
      <bottom style="thin"/>
    </border>
    <border>
      <left style="hair"/>
      <right style="medium"/>
      <top style="thin"/>
      <bottom style="hair"/>
    </border>
    <border>
      <left/>
      <right style="thin"/>
      <top style="thin"/>
      <bottom style="hair"/>
    </border>
    <border>
      <left/>
      <right style="thin"/>
      <top style="hair"/>
      <bottom style="medium"/>
    </border>
    <border>
      <left/>
      <right style="thin"/>
      <top style="hair"/>
      <bottom style="thin"/>
    </border>
    <border>
      <left style="thin"/>
      <right style="medium"/>
      <top style="medium"/>
      <bottom/>
    </border>
    <border>
      <left style="hair"/>
      <right style="medium"/>
      <top style="hair"/>
      <bottom style="medium"/>
    </border>
    <border>
      <left style="hair"/>
      <right style="medium"/>
      <top style="hair"/>
      <bottom style="thin"/>
    </border>
    <border>
      <left style="thin"/>
      <right style="thin"/>
      <top/>
      <bottom style="thin"/>
    </border>
    <border>
      <left style="hair"/>
      <right style="medium"/>
      <top style="medium"/>
      <bottom style="thin"/>
    </border>
    <border>
      <left style="thin"/>
      <right style="thin"/>
      <top style="thin"/>
      <bottom/>
    </border>
    <border>
      <left style="thin"/>
      <right style="thin"/>
      <top/>
      <bottom/>
    </border>
    <border>
      <left/>
      <right style="thin"/>
      <top style="thin"/>
      <bottom style="thin"/>
    </border>
    <border>
      <left/>
      <right style="medium"/>
      <top style="medium"/>
      <bottom/>
    </border>
    <border>
      <left/>
      <right style="medium"/>
      <top style="medium"/>
      <bottom style="thin"/>
    </border>
    <border>
      <left/>
      <right style="medium"/>
      <top style="thin"/>
      <bottom style="hair"/>
    </border>
    <border>
      <left/>
      <right style="medium"/>
      <top style="hair"/>
      <bottom style="thin"/>
    </border>
    <border>
      <left/>
      <right style="medium"/>
      <top style="hair"/>
      <bottom style="medium"/>
    </border>
    <border>
      <left style="thin"/>
      <right style="thin"/>
      <top style="medium"/>
      <bottom style="medium"/>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thin"/>
    </border>
    <border>
      <left style="medium"/>
      <right style="thin"/>
      <top style="thin"/>
      <bottom style="hair"/>
    </border>
    <border>
      <left style="medium"/>
      <right style="thin"/>
      <top style="hair"/>
      <bottom style="thin"/>
    </border>
    <border>
      <left style="medium"/>
      <right style="thin"/>
      <top style="hair"/>
      <bottom style="medium"/>
    </border>
    <border>
      <left style="medium"/>
      <right/>
      <top style="medium"/>
      <bottom style="medium"/>
    </border>
    <border>
      <left/>
      <right style="medium"/>
      <top style="medium"/>
      <bottom style="medium"/>
    </border>
    <border>
      <left style="thin"/>
      <right style="hair"/>
      <top style="thin"/>
      <bottom style="hair"/>
    </border>
    <border>
      <left style="thin"/>
      <right style="hair"/>
      <top style="hair"/>
      <bottom style="medium"/>
    </border>
    <border>
      <left/>
      <right/>
      <top style="thin"/>
      <bottom style="thin"/>
    </border>
    <border>
      <left style="thin"/>
      <right/>
      <top style="thin"/>
      <bottom/>
    </border>
    <border>
      <left/>
      <right/>
      <top style="thin"/>
      <bottom/>
    </border>
    <border>
      <left/>
      <right style="thin"/>
      <top style="thin"/>
      <bottom/>
    </border>
    <border>
      <left/>
      <right/>
      <top style="medium"/>
      <bottom style="medium"/>
    </border>
    <border>
      <left style="medium"/>
      <right/>
      <top style="medium"/>
      <bottom style="hair"/>
    </border>
    <border>
      <left style="medium"/>
      <right/>
      <top style="hair"/>
      <bottom style="hair"/>
    </border>
    <border>
      <left style="medium"/>
      <right/>
      <top style="hair"/>
      <bottom style="medium"/>
    </border>
    <border>
      <left style="thin"/>
      <right style="hair"/>
      <top style="hair"/>
      <bottom style="thin"/>
    </border>
    <border>
      <left/>
      <right/>
      <top style="medium"/>
      <bottom/>
    </border>
    <border>
      <left style="thin"/>
      <right style="hair"/>
      <top style="thin"/>
      <bottom/>
    </border>
    <border>
      <left style="thin"/>
      <right style="hair"/>
      <top/>
      <bottom/>
    </border>
    <border>
      <left style="thin"/>
      <right style="hair"/>
      <top/>
      <bottom style="thin"/>
    </border>
    <border>
      <left style="medium"/>
      <right/>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5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13" xfId="0" applyFont="1" applyFill="1" applyBorder="1" applyAlignment="1">
      <alignment horizontal="center" vertical="center"/>
    </xf>
    <xf numFmtId="0" fontId="53" fillId="33" borderId="14" xfId="0" applyFont="1" applyFill="1" applyBorder="1" applyAlignment="1">
      <alignment horizontal="center" vertical="center" wrapText="1"/>
    </xf>
    <xf numFmtId="0" fontId="54" fillId="33" borderId="15" xfId="0" applyFont="1" applyFill="1" applyBorder="1" applyAlignment="1">
      <alignment horizontal="center" vertical="center"/>
    </xf>
    <xf numFmtId="0" fontId="53" fillId="34" borderId="14" xfId="0" applyFont="1" applyFill="1" applyBorder="1" applyAlignment="1">
      <alignment horizontal="center" vertical="center" wrapText="1"/>
    </xf>
    <xf numFmtId="0" fontId="53" fillId="35" borderId="14" xfId="0" applyFont="1" applyFill="1" applyBorder="1" applyAlignment="1">
      <alignment horizontal="center" vertical="center" wrapText="1"/>
    </xf>
    <xf numFmtId="0" fontId="54" fillId="35" borderId="15" xfId="0" applyFont="1" applyFill="1" applyBorder="1" applyAlignment="1">
      <alignment horizontal="center" vertical="center"/>
    </xf>
    <xf numFmtId="0" fontId="55" fillId="36" borderId="16" xfId="0" applyFont="1" applyFill="1" applyBorder="1" applyAlignment="1">
      <alignment horizontal="center" vertical="center"/>
    </xf>
    <xf numFmtId="0" fontId="55" fillId="37" borderId="17" xfId="0" applyFont="1" applyFill="1" applyBorder="1" applyAlignment="1">
      <alignment horizontal="center" vertical="center"/>
    </xf>
    <xf numFmtId="0" fontId="39" fillId="38" borderId="18" xfId="0" applyFont="1" applyFill="1" applyBorder="1" applyAlignment="1">
      <alignment horizontal="center" vertical="center" wrapText="1"/>
    </xf>
    <xf numFmtId="0" fontId="39" fillId="36" borderId="19" xfId="0" applyFont="1" applyFill="1" applyBorder="1" applyAlignment="1">
      <alignment horizontal="center" vertical="center" wrapText="1"/>
    </xf>
    <xf numFmtId="0" fontId="39" fillId="37" borderId="20" xfId="0" applyFont="1" applyFill="1" applyBorder="1" applyAlignment="1">
      <alignment horizontal="center" vertical="center" wrapText="1"/>
    </xf>
    <xf numFmtId="0" fontId="44" fillId="39" borderId="10" xfId="0" applyFont="1" applyFill="1" applyBorder="1" applyAlignment="1">
      <alignment horizontal="center" vertical="center"/>
    </xf>
    <xf numFmtId="0" fontId="0" fillId="40" borderId="10" xfId="0" applyFill="1" applyBorder="1" applyAlignment="1">
      <alignment horizontal="center" vertical="center"/>
    </xf>
    <xf numFmtId="0" fontId="0" fillId="40" borderId="10" xfId="0" applyFill="1" applyBorder="1" applyAlignment="1">
      <alignment horizontal="center" vertical="center"/>
    </xf>
    <xf numFmtId="0" fontId="0" fillId="0" borderId="10" xfId="0" applyBorder="1" applyAlignment="1">
      <alignment vertical="center"/>
    </xf>
    <xf numFmtId="0" fontId="44" fillId="39" borderId="21" xfId="0" applyFont="1" applyFill="1" applyBorder="1" applyAlignment="1">
      <alignment vertical="center"/>
    </xf>
    <xf numFmtId="0" fontId="44" fillId="39" borderId="10" xfId="0" applyFont="1" applyFill="1" applyBorder="1" applyAlignment="1">
      <alignment horizontal="center" vertical="center"/>
    </xf>
    <xf numFmtId="0" fontId="44" fillId="39" borderId="10" xfId="0" applyFont="1" applyFill="1" applyBorder="1" applyAlignment="1">
      <alignment horizontal="center" vertical="center"/>
    </xf>
    <xf numFmtId="0" fontId="0" fillId="40" borderId="10" xfId="0" applyFill="1" applyBorder="1" applyAlignment="1">
      <alignment vertical="center"/>
    </xf>
    <xf numFmtId="0" fontId="0" fillId="40" borderId="21" xfId="0" applyFill="1" applyBorder="1" applyAlignment="1">
      <alignment vertical="center"/>
    </xf>
    <xf numFmtId="0" fontId="56" fillId="41" borderId="10" xfId="0" applyFont="1" applyFill="1" applyBorder="1" applyAlignment="1">
      <alignment horizontal="center" vertical="center"/>
    </xf>
    <xf numFmtId="0" fontId="57" fillId="41" borderId="10" xfId="0" applyFont="1" applyFill="1" applyBorder="1" applyAlignment="1">
      <alignment horizontal="center" vertical="center"/>
    </xf>
    <xf numFmtId="0" fontId="37" fillId="41" borderId="10" xfId="0"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alignment vertical="center"/>
    </xf>
    <xf numFmtId="0" fontId="44" fillId="0" borderId="0" xfId="0" applyFont="1" applyAlignment="1">
      <alignment horizontal="left" vertical="center"/>
    </xf>
    <xf numFmtId="0" fontId="58" fillId="17" borderId="22" xfId="0" applyFont="1" applyFill="1" applyBorder="1" applyAlignment="1">
      <alignment horizontal="center" vertical="center" wrapText="1"/>
    </xf>
    <xf numFmtId="0" fontId="59" fillId="40" borderId="23" xfId="0" applyFont="1" applyFill="1" applyBorder="1" applyAlignment="1">
      <alignment horizontal="center" vertical="center"/>
    </xf>
    <xf numFmtId="0" fontId="59" fillId="40" borderId="10" xfId="0" applyFont="1" applyFill="1" applyBorder="1" applyAlignment="1">
      <alignment horizontal="center" vertical="center"/>
    </xf>
    <xf numFmtId="0" fontId="48" fillId="40" borderId="10" xfId="0" applyFont="1" applyFill="1" applyBorder="1" applyAlignment="1">
      <alignment horizontal="center" vertical="center"/>
    </xf>
    <xf numFmtId="0" fontId="48" fillId="40" borderId="24" xfId="0" applyFont="1" applyFill="1" applyBorder="1" applyAlignment="1">
      <alignment horizontal="center" vertical="center"/>
    </xf>
    <xf numFmtId="0" fontId="48" fillId="40" borderId="23" xfId="0" applyFont="1" applyFill="1" applyBorder="1" applyAlignment="1">
      <alignment horizontal="center" vertical="center"/>
    </xf>
    <xf numFmtId="0" fontId="48" fillId="40" borderId="21" xfId="0" applyFont="1" applyFill="1" applyBorder="1" applyAlignment="1">
      <alignment horizontal="center" vertical="center"/>
    </xf>
    <xf numFmtId="0" fontId="0" fillId="40" borderId="25" xfId="0" applyFill="1" applyBorder="1" applyAlignment="1">
      <alignment horizontal="center" vertical="center"/>
    </xf>
    <xf numFmtId="0" fontId="48" fillId="40" borderId="24" xfId="0" applyFont="1" applyFill="1" applyBorder="1" applyAlignment="1">
      <alignment vertical="center"/>
    </xf>
    <xf numFmtId="0" fontId="48" fillId="40" borderId="21" xfId="0" applyFont="1" applyFill="1" applyBorder="1" applyAlignment="1">
      <alignment vertical="center"/>
    </xf>
    <xf numFmtId="0" fontId="37" fillId="42" borderId="10" xfId="0" applyFont="1" applyFill="1" applyBorder="1" applyAlignment="1">
      <alignment horizontal="center" vertical="center"/>
    </xf>
    <xf numFmtId="0" fontId="56" fillId="43" borderId="10" xfId="0" applyFont="1" applyFill="1" applyBorder="1" applyAlignment="1">
      <alignment horizontal="center" vertical="center"/>
    </xf>
    <xf numFmtId="0" fontId="37" fillId="43" borderId="10" xfId="0" applyFont="1" applyFill="1" applyBorder="1" applyAlignment="1">
      <alignment horizontal="center" vertical="center"/>
    </xf>
    <xf numFmtId="0" fontId="57" fillId="43" borderId="10" xfId="0" applyFont="1" applyFill="1" applyBorder="1" applyAlignment="1">
      <alignment horizontal="center" vertical="center"/>
    </xf>
    <xf numFmtId="0" fontId="0" fillId="0" borderId="10" xfId="0" applyBorder="1" applyAlignment="1">
      <alignment horizontal="center" vertical="center"/>
    </xf>
    <xf numFmtId="0" fontId="0" fillId="40" borderId="10" xfId="0" applyFill="1" applyBorder="1" applyAlignment="1">
      <alignment horizontal="center" vertical="center"/>
    </xf>
    <xf numFmtId="0" fontId="44" fillId="39" borderId="10" xfId="0" applyFont="1" applyFill="1" applyBorder="1" applyAlignment="1">
      <alignment horizontal="center" vertical="center"/>
    </xf>
    <xf numFmtId="0" fontId="0" fillId="0" borderId="0" xfId="0" applyAlignment="1">
      <alignment horizontal="left" vertical="center"/>
    </xf>
    <xf numFmtId="0" fontId="44" fillId="39" borderId="10" xfId="0" applyFont="1" applyFill="1" applyBorder="1" applyAlignment="1">
      <alignment horizontal="center" vertical="center"/>
    </xf>
    <xf numFmtId="0" fontId="0" fillId="40" borderId="10" xfId="0" applyFill="1" applyBorder="1" applyAlignment="1">
      <alignment horizontal="center" vertical="center"/>
    </xf>
    <xf numFmtId="0" fontId="0" fillId="0" borderId="10" xfId="0" applyBorder="1" applyAlignment="1">
      <alignment horizontal="center" vertical="center"/>
    </xf>
    <xf numFmtId="0" fontId="0" fillId="40" borderId="10" xfId="0" applyFill="1" applyBorder="1" applyAlignment="1">
      <alignment horizontal="center" vertical="center"/>
    </xf>
    <xf numFmtId="0" fontId="44" fillId="39" borderId="10" xfId="0" applyFont="1" applyFill="1" applyBorder="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60" fillId="44" borderId="1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53" fillId="45" borderId="26" xfId="0" applyFont="1" applyFill="1" applyBorder="1" applyAlignment="1">
      <alignment horizontal="center" vertical="center" wrapText="1"/>
    </xf>
    <xf numFmtId="0" fontId="54" fillId="0" borderId="27" xfId="0" applyFont="1" applyFill="1" applyBorder="1" applyAlignment="1">
      <alignment horizontal="center" vertical="center"/>
    </xf>
    <xf numFmtId="0" fontId="54" fillId="33" borderId="28" xfId="0" applyFont="1" applyFill="1" applyBorder="1" applyAlignment="1">
      <alignment horizontal="center" vertical="center"/>
    </xf>
    <xf numFmtId="0" fontId="55" fillId="37" borderId="29" xfId="0" applyFont="1" applyFill="1" applyBorder="1" applyAlignment="1">
      <alignment horizontal="center" vertical="center"/>
    </xf>
    <xf numFmtId="0" fontId="54" fillId="35" borderId="28" xfId="0" applyFont="1" applyFill="1" applyBorder="1" applyAlignment="1">
      <alignment horizontal="center" vertical="center"/>
    </xf>
    <xf numFmtId="0" fontId="55" fillId="36" borderId="30" xfId="0" applyFont="1" applyFill="1" applyBorder="1" applyAlignment="1">
      <alignment horizontal="center" vertical="center"/>
    </xf>
    <xf numFmtId="0" fontId="0" fillId="0" borderId="10" xfId="0" applyBorder="1" applyAlignment="1">
      <alignment horizontal="center" vertical="center"/>
    </xf>
    <xf numFmtId="0" fontId="53" fillId="45" borderId="31" xfId="0" applyFont="1" applyFill="1" applyBorder="1" applyAlignment="1">
      <alignment horizontal="center" vertical="center" wrapText="1"/>
    </xf>
    <xf numFmtId="0" fontId="53" fillId="46" borderId="31" xfId="0" applyFont="1" applyFill="1" applyBorder="1" applyAlignment="1">
      <alignment horizontal="center" vertical="center" wrapText="1"/>
    </xf>
    <xf numFmtId="0" fontId="57" fillId="43" borderId="32" xfId="0" applyFont="1" applyFill="1" applyBorder="1" applyAlignment="1">
      <alignment horizontal="center" vertical="center"/>
    </xf>
    <xf numFmtId="0" fontId="0" fillId="0" borderId="0" xfId="0" applyAlignment="1">
      <alignment horizontal="center" vertical="center" wrapText="1"/>
    </xf>
    <xf numFmtId="0" fontId="54" fillId="34" borderId="15" xfId="0" applyFont="1" applyFill="1" applyBorder="1" applyAlignment="1">
      <alignment horizontal="center" vertical="center"/>
    </xf>
    <xf numFmtId="0" fontId="54" fillId="34" borderId="28" xfId="0" applyFont="1" applyFill="1" applyBorder="1" applyAlignment="1">
      <alignment horizontal="center" vertical="center"/>
    </xf>
    <xf numFmtId="0" fontId="56" fillId="43" borderId="10" xfId="0" applyFont="1" applyFill="1" applyBorder="1" applyAlignment="1">
      <alignment horizontal="center" vertical="center" shrinkToFit="1"/>
    </xf>
    <xf numFmtId="0" fontId="57" fillId="43" borderId="32" xfId="0" applyFont="1" applyFill="1" applyBorder="1" applyAlignment="1">
      <alignment horizontal="center" vertical="center" shrinkToFit="1"/>
    </xf>
    <xf numFmtId="0" fontId="37" fillId="43" borderId="10" xfId="0" applyFont="1" applyFill="1" applyBorder="1" applyAlignment="1">
      <alignment horizontal="center" vertical="center" shrinkToFit="1"/>
    </xf>
    <xf numFmtId="0" fontId="57" fillId="43" borderId="10" xfId="0" applyFont="1" applyFill="1" applyBorder="1" applyAlignment="1">
      <alignment horizontal="center" vertical="center" shrinkToFit="1"/>
    </xf>
    <xf numFmtId="0" fontId="56" fillId="41" borderId="10" xfId="0" applyFont="1" applyFill="1" applyBorder="1" applyAlignment="1">
      <alignment horizontal="center" vertical="center" shrinkToFit="1"/>
    </xf>
    <xf numFmtId="0" fontId="57" fillId="41" borderId="32" xfId="0" applyFont="1" applyFill="1" applyBorder="1" applyAlignment="1">
      <alignment horizontal="center" vertical="center" shrinkToFit="1"/>
    </xf>
    <xf numFmtId="0" fontId="37" fillId="41" borderId="10" xfId="0" applyFont="1" applyFill="1" applyBorder="1" applyAlignment="1">
      <alignment horizontal="center" vertical="center" shrinkToFit="1"/>
    </xf>
    <xf numFmtId="0" fontId="57" fillId="41" borderId="10" xfId="0" applyFont="1" applyFill="1" applyBorder="1" applyAlignment="1">
      <alignment horizontal="center" vertical="center" shrinkToFit="1"/>
    </xf>
    <xf numFmtId="0" fontId="48" fillId="0" borderId="0" xfId="0"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xf>
    <xf numFmtId="0" fontId="44" fillId="39" borderId="10" xfId="0" applyFont="1" applyFill="1" applyBorder="1" applyAlignment="1">
      <alignment horizontal="center" vertical="center"/>
    </xf>
    <xf numFmtId="0" fontId="56" fillId="47" borderId="10" xfId="0" applyFont="1" applyFill="1" applyBorder="1" applyAlignment="1">
      <alignment horizontal="center" vertical="center" shrinkToFit="1"/>
    </xf>
    <xf numFmtId="0" fontId="57" fillId="47" borderId="32" xfId="0" applyFont="1" applyFill="1" applyBorder="1" applyAlignment="1">
      <alignment horizontal="center" vertical="center" shrinkToFit="1"/>
    </xf>
    <xf numFmtId="0" fontId="37" fillId="47" borderId="10" xfId="0" applyFont="1" applyFill="1" applyBorder="1" applyAlignment="1">
      <alignment horizontal="center" vertical="center" shrinkToFit="1"/>
    </xf>
    <xf numFmtId="0" fontId="57" fillId="47" borderId="10" xfId="0" applyFont="1" applyFill="1" applyBorder="1" applyAlignment="1">
      <alignment horizontal="center" vertical="center" shrinkToFit="1"/>
    </xf>
    <xf numFmtId="0" fontId="56" fillId="47" borderId="10" xfId="0" applyFont="1" applyFill="1" applyBorder="1" applyAlignment="1">
      <alignment horizontal="center" vertical="center"/>
    </xf>
    <xf numFmtId="0" fontId="37" fillId="47" borderId="10" xfId="0" applyFont="1" applyFill="1" applyBorder="1" applyAlignment="1">
      <alignment horizontal="center" vertical="center"/>
    </xf>
    <xf numFmtId="0" fontId="57" fillId="47" borderId="10" xfId="0" applyFont="1" applyFill="1" applyBorder="1" applyAlignment="1">
      <alignment horizontal="center" vertical="center"/>
    </xf>
    <xf numFmtId="0" fontId="0" fillId="0" borderId="0" xfId="60">
      <alignment vertical="center"/>
      <protection/>
    </xf>
    <xf numFmtId="0" fontId="0" fillId="48" borderId="10" xfId="60" applyFill="1" applyBorder="1">
      <alignment vertical="center"/>
      <protection/>
    </xf>
    <xf numFmtId="0" fontId="56" fillId="49" borderId="10" xfId="0" applyFont="1" applyFill="1" applyBorder="1" applyAlignment="1">
      <alignment horizontal="center" vertical="center"/>
    </xf>
    <xf numFmtId="0" fontId="37" fillId="49" borderId="10" xfId="0" applyFont="1" applyFill="1" applyBorder="1" applyAlignment="1">
      <alignment horizontal="center" vertical="center"/>
    </xf>
    <xf numFmtId="0" fontId="57" fillId="49" borderId="10" xfId="0" applyFont="1" applyFill="1" applyBorder="1" applyAlignment="1">
      <alignment horizontal="center" vertical="center"/>
    </xf>
    <xf numFmtId="0" fontId="56" fillId="49" borderId="10" xfId="0" applyFont="1" applyFill="1" applyBorder="1" applyAlignment="1">
      <alignment horizontal="center" vertical="center" shrinkToFit="1"/>
    </xf>
    <xf numFmtId="0" fontId="57" fillId="49" borderId="32" xfId="0" applyFont="1" applyFill="1" applyBorder="1" applyAlignment="1">
      <alignment horizontal="center" vertical="center" shrinkToFit="1"/>
    </xf>
    <xf numFmtId="0" fontId="37" fillId="49" borderId="10" xfId="0" applyFont="1" applyFill="1" applyBorder="1" applyAlignment="1">
      <alignment horizontal="center" vertical="center" shrinkToFit="1"/>
    </xf>
    <xf numFmtId="0" fontId="57" fillId="49" borderId="10" xfId="0" applyFont="1" applyFill="1" applyBorder="1" applyAlignment="1">
      <alignment horizontal="center" vertical="center" shrinkToFit="1"/>
    </xf>
    <xf numFmtId="176" fontId="48" fillId="0" borderId="0" xfId="0" applyNumberFormat="1" applyFont="1" applyAlignment="1">
      <alignment horizontal="center" vertical="center"/>
    </xf>
    <xf numFmtId="0" fontId="0" fillId="0" borderId="10" xfId="60" applyBorder="1" applyAlignment="1">
      <alignment horizontal="center" vertical="center"/>
      <protection/>
    </xf>
    <xf numFmtId="0" fontId="0" fillId="40" borderId="10" xfId="60" applyFill="1" applyBorder="1" applyAlignment="1">
      <alignment horizontal="center" vertical="center"/>
      <protection/>
    </xf>
    <xf numFmtId="0" fontId="44" fillId="39" borderId="10" xfId="60" applyFont="1" applyFill="1" applyBorder="1" applyAlignment="1">
      <alignment horizontal="center" vertical="center"/>
      <protection/>
    </xf>
    <xf numFmtId="0" fontId="0" fillId="40" borderId="10" xfId="60" applyFill="1" applyBorder="1">
      <alignment vertical="center"/>
      <protection/>
    </xf>
    <xf numFmtId="0" fontId="44" fillId="39" borderId="10" xfId="0" applyFont="1" applyFill="1" applyBorder="1" applyAlignment="1">
      <alignment horizontal="center" vertical="center"/>
    </xf>
    <xf numFmtId="0" fontId="0" fillId="0" borderId="10" xfId="0" applyBorder="1" applyAlignment="1">
      <alignment horizontal="center" vertical="center"/>
    </xf>
    <xf numFmtId="0" fontId="0" fillId="40" borderId="10" xfId="0" applyFill="1" applyBorder="1" applyAlignment="1">
      <alignment horizontal="center" vertical="center"/>
    </xf>
    <xf numFmtId="0" fontId="44" fillId="39" borderId="10" xfId="0" applyFont="1" applyFill="1" applyBorder="1" applyAlignment="1">
      <alignment horizontal="center" vertical="center"/>
    </xf>
    <xf numFmtId="0" fontId="0" fillId="0" borderId="0" xfId="0" applyAlignment="1">
      <alignment horizontal="left" vertical="center"/>
    </xf>
    <xf numFmtId="0" fontId="48" fillId="0" borderId="0" xfId="0" applyFont="1" applyAlignment="1">
      <alignment horizontal="left" vertical="center"/>
    </xf>
    <xf numFmtId="0" fontId="57" fillId="43" borderId="32"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48" fillId="0" borderId="0" xfId="0" applyFont="1"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0" xfId="0"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48" fillId="0" borderId="0" xfId="0" applyFont="1"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48" fillId="0" borderId="33" xfId="0" applyFont="1" applyBorder="1" applyAlignment="1">
      <alignment horizontal="left" vertical="center"/>
    </xf>
    <xf numFmtId="0" fontId="48" fillId="0" borderId="34" xfId="0" applyFont="1" applyBorder="1" applyAlignment="1">
      <alignment horizontal="left" vertical="center"/>
    </xf>
    <xf numFmtId="0" fontId="54" fillId="0" borderId="38" xfId="0" applyFont="1" applyFill="1" applyBorder="1" applyAlignment="1">
      <alignment horizontal="center" vertical="center"/>
    </xf>
    <xf numFmtId="0" fontId="54" fillId="33" borderId="39" xfId="0" applyFont="1" applyFill="1" applyBorder="1" applyAlignment="1">
      <alignment horizontal="center" vertical="center"/>
    </xf>
    <xf numFmtId="0" fontId="55" fillId="37" borderId="40" xfId="0" applyFont="1" applyFill="1" applyBorder="1" applyAlignment="1">
      <alignment horizontal="center" vertical="center"/>
    </xf>
    <xf numFmtId="0" fontId="54" fillId="35" borderId="39" xfId="0" applyFont="1" applyFill="1" applyBorder="1" applyAlignment="1">
      <alignment horizontal="center" vertical="center"/>
    </xf>
    <xf numFmtId="0" fontId="55" fillId="36" borderId="41" xfId="0" applyFont="1" applyFill="1" applyBorder="1" applyAlignment="1">
      <alignment horizontal="center" vertical="center"/>
    </xf>
    <xf numFmtId="0" fontId="0" fillId="0" borderId="10" xfId="0" applyBorder="1" applyAlignment="1">
      <alignment horizontal="center" vertical="center"/>
    </xf>
    <xf numFmtId="0" fontId="0" fillId="40" borderId="10" xfId="0" applyFill="1" applyBorder="1" applyAlignment="1">
      <alignment horizontal="center" vertical="center"/>
    </xf>
    <xf numFmtId="0" fontId="44" fillId="39" borderId="10" xfId="0" applyFont="1" applyFill="1" applyBorder="1" applyAlignment="1">
      <alignment horizontal="center" vertical="center"/>
    </xf>
    <xf numFmtId="0" fontId="48" fillId="39" borderId="42" xfId="60" applyFont="1" applyFill="1" applyBorder="1" applyAlignment="1">
      <alignment horizontal="center" vertical="center"/>
      <protection/>
    </xf>
    <xf numFmtId="0" fontId="48" fillId="39" borderId="43" xfId="60" applyFont="1" applyFill="1" applyBorder="1" applyAlignment="1">
      <alignment horizontal="center" vertical="center"/>
      <protection/>
    </xf>
    <xf numFmtId="0" fontId="39" fillId="50" borderId="44" xfId="0" applyFont="1" applyFill="1" applyBorder="1" applyAlignment="1">
      <alignment horizontal="center" vertical="center" wrapText="1"/>
    </xf>
    <xf numFmtId="0" fontId="39" fillId="50" borderId="45" xfId="0" applyFont="1" applyFill="1" applyBorder="1" applyAlignment="1">
      <alignment horizontal="center" vertical="center" wrapText="1"/>
    </xf>
    <xf numFmtId="0" fontId="0" fillId="0" borderId="33" xfId="0" applyFont="1"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3" xfId="0" applyBorder="1" applyAlignment="1">
      <alignment horizontal="left" vertical="center"/>
    </xf>
    <xf numFmtId="0" fontId="57" fillId="41" borderId="10" xfId="0" applyFont="1" applyFill="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40" borderId="23" xfId="0" applyFill="1" applyBorder="1" applyAlignment="1">
      <alignment horizontal="center" vertical="center"/>
    </xf>
    <xf numFmtId="0" fontId="0" fillId="40" borderId="21" xfId="0" applyFill="1" applyBorder="1" applyAlignment="1">
      <alignment horizontal="center" vertical="center"/>
    </xf>
    <xf numFmtId="0" fontId="0" fillId="0" borderId="32" xfId="0" applyBorder="1" applyAlignment="1">
      <alignment horizontal="left" vertical="center"/>
    </xf>
    <xf numFmtId="0" fontId="0" fillId="0" borderId="46" xfId="0" applyBorder="1" applyAlignment="1">
      <alignment horizontal="left" vertical="center"/>
    </xf>
    <xf numFmtId="0" fontId="0" fillId="0" borderId="25"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57" fillId="41" borderId="32" xfId="0" applyFont="1" applyFill="1" applyBorder="1" applyAlignment="1">
      <alignment horizontal="center" vertical="center"/>
    </xf>
    <xf numFmtId="0" fontId="57" fillId="41" borderId="25" xfId="0" applyFont="1" applyFill="1" applyBorder="1" applyAlignment="1">
      <alignment horizontal="center" vertical="center"/>
    </xf>
    <xf numFmtId="0" fontId="37" fillId="41" borderId="32" xfId="0" applyFont="1" applyFill="1" applyBorder="1" applyAlignment="1">
      <alignment horizontal="center" vertical="center"/>
    </xf>
    <xf numFmtId="0" fontId="37" fillId="41" borderId="25" xfId="0" applyFont="1" applyFill="1" applyBorder="1" applyAlignment="1">
      <alignment horizontal="center" vertical="center"/>
    </xf>
    <xf numFmtId="0" fontId="39" fillId="41" borderId="42" xfId="0" applyFont="1" applyFill="1" applyBorder="1" applyAlignment="1">
      <alignment horizontal="center" vertical="center" shrinkToFit="1"/>
    </xf>
    <xf numFmtId="0" fontId="39" fillId="41" borderId="50" xfId="0" applyFont="1" applyFill="1" applyBorder="1" applyAlignment="1">
      <alignment horizontal="center" vertical="center" shrinkToFit="1"/>
    </xf>
    <xf numFmtId="0" fontId="39" fillId="41" borderId="43" xfId="0" applyFont="1" applyFill="1" applyBorder="1" applyAlignment="1">
      <alignment horizontal="center" vertical="center" shrinkToFit="1"/>
    </xf>
    <xf numFmtId="0" fontId="53" fillId="0" borderId="51"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39" fillId="51" borderId="44" xfId="0" applyFont="1" applyFill="1" applyBorder="1" applyAlignment="1">
      <alignment horizontal="center" vertical="center" wrapText="1"/>
    </xf>
    <xf numFmtId="0" fontId="39" fillId="51" borderId="54" xfId="0" applyFont="1" applyFill="1" applyBorder="1" applyAlignment="1">
      <alignment horizontal="center" vertical="center" wrapText="1"/>
    </xf>
    <xf numFmtId="0" fontId="0" fillId="0" borderId="0" xfId="0" applyAlignment="1">
      <alignment horizontal="left" vertical="center"/>
    </xf>
    <xf numFmtId="0" fontId="48" fillId="0" borderId="0" xfId="0" applyFont="1" applyBorder="1" applyAlignment="1">
      <alignment horizontal="left" vertical="center"/>
    </xf>
    <xf numFmtId="0" fontId="57" fillId="41" borderId="32" xfId="0" applyFont="1" applyFill="1" applyBorder="1" applyAlignment="1">
      <alignment horizontal="center" vertical="center" shrinkToFit="1"/>
    </xf>
    <xf numFmtId="0" fontId="57" fillId="41" borderId="46" xfId="0" applyFont="1" applyFill="1" applyBorder="1" applyAlignment="1">
      <alignment horizontal="center" vertical="center" shrinkToFit="1"/>
    </xf>
    <xf numFmtId="0" fontId="57" fillId="41" borderId="25" xfId="0" applyFont="1" applyFill="1" applyBorder="1" applyAlignment="1">
      <alignment horizontal="center" vertical="center" shrinkToFit="1"/>
    </xf>
    <xf numFmtId="0" fontId="48" fillId="0" borderId="0" xfId="0" applyFont="1" applyAlignment="1">
      <alignment horizontal="left" vertical="center"/>
    </xf>
    <xf numFmtId="0" fontId="48" fillId="0" borderId="47" xfId="0" applyFont="1" applyBorder="1" applyAlignment="1">
      <alignment horizontal="left" vertical="center"/>
    </xf>
    <xf numFmtId="0" fontId="48" fillId="0" borderId="48" xfId="0" applyFont="1" applyBorder="1" applyAlignment="1">
      <alignment horizontal="left" vertical="center"/>
    </xf>
    <xf numFmtId="0" fontId="48" fillId="0" borderId="49" xfId="0" applyFont="1" applyBorder="1" applyAlignment="1">
      <alignment horizontal="left" vertical="center"/>
    </xf>
    <xf numFmtId="0" fontId="53" fillId="18" borderId="51" xfId="0" applyFont="1" applyFill="1" applyBorder="1" applyAlignment="1">
      <alignment horizontal="center" vertical="center" wrapText="1"/>
    </xf>
    <xf numFmtId="0" fontId="53" fillId="18" borderId="52" xfId="0" applyFont="1" applyFill="1" applyBorder="1" applyAlignment="1">
      <alignment horizontal="center" vertical="center" wrapText="1"/>
    </xf>
    <xf numFmtId="0" fontId="53" fillId="18" borderId="53" xfId="0" applyFont="1" applyFill="1" applyBorder="1" applyAlignment="1">
      <alignment horizontal="center" vertical="center" wrapText="1"/>
    </xf>
    <xf numFmtId="0" fontId="48" fillId="0" borderId="55" xfId="0" applyFont="1" applyBorder="1" applyAlignment="1">
      <alignment horizontal="left"/>
    </xf>
    <xf numFmtId="0" fontId="61" fillId="0" borderId="33" xfId="0" applyFont="1" applyBorder="1" applyAlignment="1">
      <alignment horizontal="left" vertical="center"/>
    </xf>
    <xf numFmtId="0" fontId="61" fillId="0" borderId="0" xfId="0" applyFont="1" applyBorder="1" applyAlignment="1">
      <alignment horizontal="left" vertical="center"/>
    </xf>
    <xf numFmtId="0" fontId="61" fillId="0" borderId="34" xfId="0" applyFont="1" applyBorder="1" applyAlignment="1">
      <alignment horizontal="left" vertical="center"/>
    </xf>
    <xf numFmtId="0" fontId="57" fillId="49" borderId="32" xfId="0" applyFont="1" applyFill="1" applyBorder="1" applyAlignment="1">
      <alignment horizontal="center" vertical="center" shrinkToFit="1"/>
    </xf>
    <xf numFmtId="0" fontId="57" fillId="49" borderId="46" xfId="0" applyFont="1" applyFill="1" applyBorder="1" applyAlignment="1">
      <alignment horizontal="center" vertical="center" shrinkToFit="1"/>
    </xf>
    <xf numFmtId="0" fontId="57" fillId="49" borderId="25" xfId="0" applyFont="1" applyFill="1" applyBorder="1" applyAlignment="1">
      <alignment horizontal="center" vertical="center" shrinkToFit="1"/>
    </xf>
    <xf numFmtId="0" fontId="0" fillId="40" borderId="49" xfId="0" applyFill="1" applyBorder="1" applyAlignment="1">
      <alignment horizontal="center" vertical="center"/>
    </xf>
    <xf numFmtId="0" fontId="0" fillId="40" borderId="37" xfId="0" applyFill="1" applyBorder="1" applyAlignment="1">
      <alignment horizontal="center" vertical="center"/>
    </xf>
    <xf numFmtId="0" fontId="39" fillId="49" borderId="42" xfId="0" applyFont="1" applyFill="1" applyBorder="1" applyAlignment="1">
      <alignment horizontal="center" vertical="center" shrinkToFit="1"/>
    </xf>
    <xf numFmtId="0" fontId="39" fillId="49" borderId="50" xfId="0" applyFont="1" applyFill="1" applyBorder="1" applyAlignment="1">
      <alignment horizontal="center" vertical="center" shrinkToFit="1"/>
    </xf>
    <xf numFmtId="0" fontId="39" fillId="49" borderId="43" xfId="0" applyFont="1" applyFill="1" applyBorder="1" applyAlignment="1">
      <alignment horizontal="center" vertical="center" shrinkToFit="1"/>
    </xf>
    <xf numFmtId="0" fontId="57" fillId="49" borderId="32" xfId="0" applyFont="1" applyFill="1" applyBorder="1" applyAlignment="1">
      <alignment horizontal="center" vertical="center"/>
    </xf>
    <xf numFmtId="0" fontId="57" fillId="49" borderId="25" xfId="0" applyFont="1" applyFill="1" applyBorder="1" applyAlignment="1">
      <alignment horizontal="center" vertical="center"/>
    </xf>
    <xf numFmtId="0" fontId="37" fillId="49" borderId="32" xfId="0" applyFont="1" applyFill="1" applyBorder="1" applyAlignment="1">
      <alignment horizontal="center" vertical="center"/>
    </xf>
    <xf numFmtId="0" fontId="37" fillId="49" borderId="25" xfId="0" applyFont="1" applyFill="1" applyBorder="1" applyAlignment="1">
      <alignment horizontal="center" vertical="center"/>
    </xf>
    <xf numFmtId="0" fontId="57" fillId="49" borderId="10" xfId="0" applyFont="1" applyFill="1" applyBorder="1" applyAlignment="1">
      <alignment horizontal="left" vertical="center"/>
    </xf>
    <xf numFmtId="0" fontId="62" fillId="0" borderId="33" xfId="0" applyFont="1" applyBorder="1" applyAlignment="1">
      <alignment horizontal="left" vertical="center"/>
    </xf>
    <xf numFmtId="0" fontId="62" fillId="0" borderId="0" xfId="0" applyFont="1" applyBorder="1" applyAlignment="1">
      <alignment horizontal="left" vertical="center"/>
    </xf>
    <xf numFmtId="0" fontId="62" fillId="0" borderId="34" xfId="0" applyFont="1" applyBorder="1" applyAlignment="1">
      <alignment horizontal="left" vertical="center"/>
    </xf>
    <xf numFmtId="0" fontId="57" fillId="47" borderId="32" xfId="0" applyFont="1" applyFill="1" applyBorder="1" applyAlignment="1">
      <alignment horizontal="center" vertical="center" shrinkToFit="1"/>
    </xf>
    <xf numFmtId="0" fontId="57" fillId="47" borderId="46" xfId="0" applyFont="1" applyFill="1" applyBorder="1" applyAlignment="1">
      <alignment horizontal="center" vertical="center" shrinkToFit="1"/>
    </xf>
    <xf numFmtId="0" fontId="57" fillId="47" borderId="25" xfId="0" applyFont="1" applyFill="1" applyBorder="1" applyAlignment="1">
      <alignment horizontal="center" vertical="center" shrinkToFit="1"/>
    </xf>
    <xf numFmtId="0" fontId="39" fillId="47" borderId="42" xfId="0" applyFont="1" applyFill="1" applyBorder="1" applyAlignment="1">
      <alignment horizontal="center" vertical="center" shrinkToFit="1"/>
    </xf>
    <xf numFmtId="0" fontId="39" fillId="47" borderId="50" xfId="0" applyFont="1" applyFill="1" applyBorder="1" applyAlignment="1">
      <alignment horizontal="center" vertical="center" shrinkToFit="1"/>
    </xf>
    <xf numFmtId="0" fontId="39" fillId="47" borderId="43" xfId="0" applyFont="1" applyFill="1" applyBorder="1" applyAlignment="1">
      <alignment horizontal="center" vertical="center" shrinkToFit="1"/>
    </xf>
    <xf numFmtId="0" fontId="57" fillId="47" borderId="32" xfId="0" applyFont="1" applyFill="1" applyBorder="1" applyAlignment="1">
      <alignment horizontal="center" vertical="center"/>
    </xf>
    <xf numFmtId="0" fontId="57" fillId="47" borderId="25" xfId="0" applyFont="1" applyFill="1" applyBorder="1" applyAlignment="1">
      <alignment horizontal="center" vertical="center"/>
    </xf>
    <xf numFmtId="0" fontId="37" fillId="47" borderId="32" xfId="0" applyFont="1" applyFill="1" applyBorder="1" applyAlignment="1">
      <alignment horizontal="center" vertical="center"/>
    </xf>
    <xf numFmtId="0" fontId="37" fillId="47" borderId="25" xfId="0" applyFont="1" applyFill="1" applyBorder="1" applyAlignment="1">
      <alignment horizontal="center" vertical="center"/>
    </xf>
    <xf numFmtId="0" fontId="57" fillId="47" borderId="10" xfId="0" applyFont="1" applyFill="1" applyBorder="1" applyAlignment="1">
      <alignment horizontal="left" vertical="center"/>
    </xf>
    <xf numFmtId="0" fontId="55" fillId="47" borderId="42" xfId="0" applyFont="1" applyFill="1" applyBorder="1" applyAlignment="1">
      <alignment horizontal="center" vertical="center" shrinkToFit="1"/>
    </xf>
    <xf numFmtId="0" fontId="55" fillId="47" borderId="50" xfId="0" applyFont="1" applyFill="1" applyBorder="1" applyAlignment="1">
      <alignment horizontal="center" vertical="center" shrinkToFit="1"/>
    </xf>
    <xf numFmtId="0" fontId="55" fillId="47" borderId="43" xfId="0" applyFont="1" applyFill="1" applyBorder="1" applyAlignment="1">
      <alignment horizontal="center" vertical="center" shrinkToFit="1"/>
    </xf>
    <xf numFmtId="0" fontId="57" fillId="43" borderId="32" xfId="0" applyFont="1" applyFill="1" applyBorder="1" applyAlignment="1">
      <alignment horizontal="center" vertical="center"/>
    </xf>
    <xf numFmtId="0" fontId="57" fillId="43" borderId="25" xfId="0" applyFont="1" applyFill="1" applyBorder="1" applyAlignment="1">
      <alignment horizontal="center" vertical="center"/>
    </xf>
    <xf numFmtId="0" fontId="37" fillId="43" borderId="32" xfId="0" applyFont="1" applyFill="1" applyBorder="1" applyAlignment="1">
      <alignment horizontal="center" vertical="center"/>
    </xf>
    <xf numFmtId="0" fontId="37" fillId="43" borderId="25" xfId="0" applyFont="1" applyFill="1" applyBorder="1" applyAlignment="1">
      <alignment horizontal="center" vertical="center"/>
    </xf>
    <xf numFmtId="0" fontId="57" fillId="43" borderId="10" xfId="0" applyFont="1" applyFill="1" applyBorder="1" applyAlignment="1">
      <alignment horizontal="left" vertical="center"/>
    </xf>
    <xf numFmtId="0" fontId="39" fillId="43" borderId="42" xfId="0" applyFont="1" applyFill="1" applyBorder="1" applyAlignment="1">
      <alignment horizontal="center" vertical="center" shrinkToFit="1"/>
    </xf>
    <xf numFmtId="0" fontId="39" fillId="43" borderId="50" xfId="0" applyFont="1" applyFill="1" applyBorder="1" applyAlignment="1">
      <alignment horizontal="center" vertical="center" shrinkToFit="1"/>
    </xf>
    <xf numFmtId="0" fontId="39" fillId="43" borderId="43" xfId="0" applyFont="1" applyFill="1" applyBorder="1" applyAlignment="1">
      <alignment horizontal="center" vertical="center" shrinkToFit="1"/>
    </xf>
    <xf numFmtId="0" fontId="57" fillId="43" borderId="32" xfId="0" applyFont="1" applyFill="1" applyBorder="1" applyAlignment="1">
      <alignment horizontal="center" vertical="center" shrinkToFit="1"/>
    </xf>
    <xf numFmtId="0" fontId="57" fillId="43" borderId="46" xfId="0" applyFont="1" applyFill="1" applyBorder="1" applyAlignment="1">
      <alignment horizontal="center" vertical="center" shrinkToFit="1"/>
    </xf>
    <xf numFmtId="0" fontId="57" fillId="43" borderId="25" xfId="0" applyFont="1" applyFill="1" applyBorder="1" applyAlignment="1">
      <alignment horizontal="center" vertical="center" shrinkToFit="1"/>
    </xf>
    <xf numFmtId="0" fontId="0" fillId="0" borderId="33" xfId="0" applyBorder="1" applyAlignment="1">
      <alignment horizontal="left" vertical="center" wrapText="1"/>
    </xf>
    <xf numFmtId="0" fontId="63" fillId="0" borderId="33" xfId="0" applyFont="1" applyBorder="1" applyAlignment="1">
      <alignment horizontal="left" vertical="center"/>
    </xf>
    <xf numFmtId="0" fontId="63" fillId="0" borderId="0" xfId="0" applyFont="1" applyBorder="1" applyAlignment="1">
      <alignment horizontal="left" vertical="center"/>
    </xf>
    <xf numFmtId="0" fontId="63" fillId="0" borderId="34" xfId="0" applyFont="1" applyBorder="1" applyAlignment="1">
      <alignment horizontal="left" vertical="center"/>
    </xf>
    <xf numFmtId="0" fontId="64" fillId="0" borderId="33" xfId="0" applyFont="1" applyBorder="1" applyAlignment="1">
      <alignment horizontal="left" vertical="center"/>
    </xf>
    <xf numFmtId="0" fontId="64" fillId="0" borderId="0" xfId="0" applyFont="1" applyBorder="1" applyAlignment="1">
      <alignment horizontal="left" vertical="center"/>
    </xf>
    <xf numFmtId="0" fontId="64" fillId="0" borderId="34" xfId="0" applyFont="1" applyBorder="1" applyAlignment="1">
      <alignment horizontal="left" vertical="center"/>
    </xf>
    <xf numFmtId="0" fontId="58" fillId="0" borderId="33" xfId="0" applyFont="1" applyBorder="1" applyAlignment="1">
      <alignment horizontal="left" vertical="center"/>
    </xf>
    <xf numFmtId="0" fontId="58" fillId="0" borderId="0" xfId="0" applyFont="1" applyBorder="1" applyAlignment="1">
      <alignment horizontal="left" vertical="center"/>
    </xf>
    <xf numFmtId="0" fontId="58" fillId="0" borderId="34" xfId="0" applyFont="1" applyBorder="1" applyAlignment="1">
      <alignment horizontal="left" vertical="center"/>
    </xf>
    <xf numFmtId="0" fontId="48" fillId="0" borderId="0" xfId="0" applyFont="1" applyAlignment="1">
      <alignment/>
    </xf>
    <xf numFmtId="0" fontId="39" fillId="51" borderId="56" xfId="0" applyFont="1" applyFill="1" applyBorder="1" applyAlignment="1">
      <alignment horizontal="center" vertical="center" wrapText="1"/>
    </xf>
    <xf numFmtId="0" fontId="39" fillId="51" borderId="57" xfId="0" applyFont="1" applyFill="1" applyBorder="1" applyAlignment="1">
      <alignment horizontal="center" vertical="center" wrapText="1"/>
    </xf>
    <xf numFmtId="0" fontId="39" fillId="51" borderId="58" xfId="0" applyFont="1" applyFill="1" applyBorder="1" applyAlignment="1">
      <alignment horizontal="center" vertical="center" wrapText="1"/>
    </xf>
    <xf numFmtId="0" fontId="53" fillId="18" borderId="59" xfId="0" applyFont="1" applyFill="1" applyBorder="1" applyAlignment="1">
      <alignment horizontal="center" vertical="center" wrapText="1"/>
    </xf>
    <xf numFmtId="0" fontId="48" fillId="0" borderId="33" xfId="0" applyFont="1" applyBorder="1" applyAlignment="1">
      <alignment horizontal="left" vertical="center"/>
    </xf>
    <xf numFmtId="0" fontId="48" fillId="0" borderId="34" xfId="0" applyFont="1" applyBorder="1" applyAlignment="1">
      <alignment horizontal="left" vertical="center"/>
    </xf>
    <xf numFmtId="0" fontId="65" fillId="0" borderId="33" xfId="0" applyFont="1" applyBorder="1" applyAlignment="1">
      <alignment horizontal="center" vertical="center"/>
    </xf>
    <xf numFmtId="0" fontId="65" fillId="0" borderId="0" xfId="0" applyFont="1" applyBorder="1" applyAlignment="1">
      <alignment horizontal="center" vertical="center"/>
    </xf>
    <xf numFmtId="0" fontId="65" fillId="0" borderId="34" xfId="0" applyFont="1" applyBorder="1" applyAlignment="1">
      <alignment horizontal="center" vertical="center"/>
    </xf>
    <xf numFmtId="0" fontId="63" fillId="0" borderId="35" xfId="0" applyFont="1" applyBorder="1" applyAlignment="1">
      <alignment horizontal="left" vertical="center"/>
    </xf>
    <xf numFmtId="0" fontId="63" fillId="0" borderId="36" xfId="0" applyFont="1" applyBorder="1" applyAlignment="1">
      <alignment horizontal="left" vertical="center"/>
    </xf>
    <xf numFmtId="0" fontId="63" fillId="0" borderId="37"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3">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C1">
      <selection activeCell="K6" sqref="K6"/>
    </sheetView>
  </sheetViews>
  <sheetFormatPr defaultColWidth="9.140625" defaultRowHeight="15"/>
  <cols>
    <col min="3" max="3" width="11.00390625" style="0" bestFit="1" customWidth="1"/>
    <col min="15" max="15" width="8.7109375" style="0" customWidth="1"/>
  </cols>
  <sheetData>
    <row r="1" spans="1:14" ht="13.5">
      <c r="A1" s="27" t="s">
        <v>41</v>
      </c>
      <c r="B1" s="138" t="s">
        <v>144</v>
      </c>
      <c r="C1" s="138"/>
      <c r="D1" s="138"/>
      <c r="M1" s="84" t="s">
        <v>177</v>
      </c>
      <c r="N1" s="104">
        <v>2.2</v>
      </c>
    </row>
    <row r="2" spans="1:14" ht="13.5">
      <c r="A2" s="27" t="s">
        <v>42</v>
      </c>
      <c r="B2" s="138" t="s">
        <v>143</v>
      </c>
      <c r="C2" s="138"/>
      <c r="D2" s="138"/>
      <c r="N2" t="s">
        <v>178</v>
      </c>
    </row>
    <row r="3" spans="1:2" ht="14.25" thickBot="1">
      <c r="A3" s="28" t="s">
        <v>43</v>
      </c>
      <c r="B3" s="24">
        <v>15</v>
      </c>
    </row>
    <row r="4" spans="1:7" ht="14.25" thickBot="1">
      <c r="A4" s="23"/>
      <c r="B4" s="21" t="s">
        <v>20</v>
      </c>
      <c r="C4" s="21" t="s">
        <v>21</v>
      </c>
      <c r="D4" s="21"/>
      <c r="F4" s="139" t="s">
        <v>214</v>
      </c>
      <c r="G4" s="140"/>
    </row>
    <row r="5" spans="1:14" ht="13.5">
      <c r="A5" s="27" t="s">
        <v>22</v>
      </c>
      <c r="B5" s="20">
        <v>9</v>
      </c>
      <c r="C5" s="60">
        <f>INT(($B$5-10)/2)</f>
        <v>-1</v>
      </c>
      <c r="D5" s="5">
        <f aca="true" t="shared" si="0" ref="D5:D10">INT($B$3/2)+$C5</f>
        <v>6</v>
      </c>
      <c r="F5" s="136" t="s">
        <v>50</v>
      </c>
      <c r="G5" s="136"/>
      <c r="H5" s="136"/>
      <c r="I5" s="136"/>
      <c r="J5" s="136"/>
      <c r="K5" s="136"/>
      <c r="L5" s="136"/>
      <c r="M5" s="136"/>
      <c r="N5" s="136"/>
    </row>
    <row r="6" spans="1:15" ht="13.5">
      <c r="A6" s="27" t="s">
        <v>23</v>
      </c>
      <c r="B6" s="20">
        <v>14</v>
      </c>
      <c r="C6" s="60">
        <f>INT(($B$6-10)/2)</f>
        <v>2</v>
      </c>
      <c r="D6" s="85">
        <f t="shared" si="0"/>
        <v>9</v>
      </c>
      <c r="F6" s="21" t="s">
        <v>32</v>
      </c>
      <c r="G6" s="21" t="s">
        <v>33</v>
      </c>
      <c r="H6" s="21" t="s">
        <v>34</v>
      </c>
      <c r="I6" s="21" t="s">
        <v>35</v>
      </c>
      <c r="J6" s="21" t="s">
        <v>36</v>
      </c>
      <c r="K6" s="21" t="s">
        <v>37</v>
      </c>
      <c r="L6" s="21" t="s">
        <v>18</v>
      </c>
      <c r="M6" s="21" t="s">
        <v>38</v>
      </c>
      <c r="N6" s="21" t="s">
        <v>39</v>
      </c>
      <c r="O6" s="106" t="s">
        <v>213</v>
      </c>
    </row>
    <row r="7" spans="1:15" ht="13.5">
      <c r="A7" s="27" t="s">
        <v>24</v>
      </c>
      <c r="B7" s="20">
        <v>14</v>
      </c>
      <c r="C7" s="60">
        <f>INT(($B$7-10)/2)</f>
        <v>2</v>
      </c>
      <c r="D7" s="85">
        <f t="shared" si="0"/>
        <v>9</v>
      </c>
      <c r="F7" s="2" t="s">
        <v>40</v>
      </c>
      <c r="G7" s="2">
        <f>SUM(I7:N7)</f>
        <v>8</v>
      </c>
      <c r="H7" s="87" t="s">
        <v>22</v>
      </c>
      <c r="I7" s="2">
        <f>IF($H7="筋力",'基本'!$C$5,IF($H7="耐久力",'基本'!$C$6,IF($H7="敏捷力",'基本'!$C$7,IF($H7="知力",'基本'!$C$8,IF($H7="判断力",'基本'!$C$9,IF($H7="魅力",'基本'!$C$10,""))))))</f>
        <v>-1</v>
      </c>
      <c r="J7" s="85">
        <f>INT($B$3/2)</f>
        <v>7</v>
      </c>
      <c r="K7" s="20">
        <v>2</v>
      </c>
      <c r="L7" s="20">
        <v>0</v>
      </c>
      <c r="M7" s="20">
        <v>0</v>
      </c>
      <c r="N7" s="20">
        <v>0</v>
      </c>
      <c r="O7" s="105">
        <f>SUM(J7:N7)</f>
        <v>9</v>
      </c>
    </row>
    <row r="8" spans="1:15" ht="13.5">
      <c r="A8" s="27" t="s">
        <v>25</v>
      </c>
      <c r="B8" s="20">
        <v>20</v>
      </c>
      <c r="C8" s="60">
        <f>INT(($B$8-10)/2)</f>
        <v>5</v>
      </c>
      <c r="D8" s="85">
        <f t="shared" si="0"/>
        <v>12</v>
      </c>
      <c r="F8" s="137" t="s">
        <v>44</v>
      </c>
      <c r="G8" s="137"/>
      <c r="H8" s="137" t="s">
        <v>46</v>
      </c>
      <c r="I8" s="137"/>
      <c r="J8" s="21" t="s">
        <v>34</v>
      </c>
      <c r="K8" s="21" t="s">
        <v>35</v>
      </c>
      <c r="L8" s="21" t="s">
        <v>18</v>
      </c>
      <c r="M8" s="21" t="s">
        <v>38</v>
      </c>
      <c r="N8" s="21" t="s">
        <v>39</v>
      </c>
      <c r="O8" s="106" t="s">
        <v>213</v>
      </c>
    </row>
    <row r="9" spans="1:15" ht="13.5">
      <c r="A9" s="27" t="s">
        <v>26</v>
      </c>
      <c r="B9" s="20">
        <v>11</v>
      </c>
      <c r="C9" s="60">
        <f>INT(($B$9-10)/2)</f>
        <v>0</v>
      </c>
      <c r="D9" s="85">
        <f t="shared" si="0"/>
        <v>7</v>
      </c>
      <c r="F9" s="136" t="s">
        <v>45</v>
      </c>
      <c r="G9" s="136"/>
      <c r="H9" s="136">
        <f>SUM(K9:N9)</f>
        <v>-1</v>
      </c>
      <c r="I9" s="136"/>
      <c r="J9" s="87" t="s">
        <v>22</v>
      </c>
      <c r="K9" s="2">
        <f>IF($J9="筋力",'基本'!$C$5,IF($J9="耐久力",'基本'!$C$6,IF($J9="敏捷力",'基本'!$C$7,IF($J9="知力",'基本'!$C$8,IF($J9="判断力",'基本'!$C$9,IF($J9="魅力",'基本'!$C$10,""))))))</f>
        <v>-1</v>
      </c>
      <c r="L9" s="20">
        <v>0</v>
      </c>
      <c r="M9" s="20">
        <v>0</v>
      </c>
      <c r="N9" s="20">
        <v>0</v>
      </c>
      <c r="O9" s="105">
        <f>SUM(L9:N9)</f>
        <v>0</v>
      </c>
    </row>
    <row r="10" spans="1:14" ht="13.5">
      <c r="A10" s="27" t="s">
        <v>27</v>
      </c>
      <c r="B10" s="20">
        <v>22</v>
      </c>
      <c r="C10" s="60">
        <f>INT(($B$10-10)/2)</f>
        <v>6</v>
      </c>
      <c r="D10" s="85">
        <f t="shared" si="0"/>
        <v>13</v>
      </c>
      <c r="F10" s="137" t="s">
        <v>47</v>
      </c>
      <c r="G10" s="137"/>
      <c r="H10" s="137" t="s">
        <v>48</v>
      </c>
      <c r="I10" s="137"/>
      <c r="J10" s="137"/>
      <c r="K10" s="137"/>
      <c r="L10" s="137" t="s">
        <v>49</v>
      </c>
      <c r="M10" s="137"/>
      <c r="N10" s="137"/>
    </row>
    <row r="11" spans="6:14" ht="13.5">
      <c r="F11" s="138" t="s">
        <v>28</v>
      </c>
      <c r="G11" s="138"/>
      <c r="H11" s="136"/>
      <c r="I11" s="136"/>
      <c r="J11" s="136"/>
      <c r="K11" s="136"/>
      <c r="L11" s="20"/>
      <c r="M11" s="5"/>
      <c r="N11" s="20"/>
    </row>
    <row r="12" spans="6:14" ht="14.25" thickBot="1">
      <c r="F12" s="1"/>
      <c r="G12" s="1"/>
      <c r="H12" s="1"/>
      <c r="I12" s="1"/>
      <c r="J12" s="1"/>
      <c r="K12" s="1"/>
      <c r="L12" s="1"/>
      <c r="M12" s="1"/>
      <c r="N12" s="1"/>
    </row>
    <row r="13" spans="1:14" ht="14.25" thickBot="1">
      <c r="A13" s="108" t="s">
        <v>218</v>
      </c>
      <c r="B13" s="107">
        <v>91</v>
      </c>
      <c r="F13" s="139" t="s">
        <v>215</v>
      </c>
      <c r="G13" s="140"/>
      <c r="H13" s="1"/>
      <c r="I13" s="1"/>
      <c r="J13" s="1"/>
      <c r="K13" s="1"/>
      <c r="L13" s="1"/>
      <c r="M13" s="1"/>
      <c r="N13" s="1"/>
    </row>
    <row r="14" spans="1:14" ht="13.5">
      <c r="A14" s="27" t="s">
        <v>28</v>
      </c>
      <c r="B14" s="87">
        <v>27</v>
      </c>
      <c r="F14" s="136" t="s">
        <v>51</v>
      </c>
      <c r="G14" s="136"/>
      <c r="H14" s="136"/>
      <c r="I14" s="136"/>
      <c r="J14" s="136"/>
      <c r="K14" s="136"/>
      <c r="L14" s="136"/>
      <c r="M14" s="136"/>
      <c r="N14" s="136"/>
    </row>
    <row r="15" spans="1:15" ht="13.5">
      <c r="A15" s="27" t="s">
        <v>29</v>
      </c>
      <c r="B15" s="87">
        <v>21</v>
      </c>
      <c r="F15" s="21" t="s">
        <v>32</v>
      </c>
      <c r="G15" s="21" t="s">
        <v>33</v>
      </c>
      <c r="H15" s="21" t="s">
        <v>34</v>
      </c>
      <c r="I15" s="21" t="s">
        <v>35</v>
      </c>
      <c r="J15" s="21" t="s">
        <v>36</v>
      </c>
      <c r="K15" s="21" t="s">
        <v>37</v>
      </c>
      <c r="L15" s="21" t="s">
        <v>18</v>
      </c>
      <c r="M15" s="21" t="s">
        <v>38</v>
      </c>
      <c r="N15" s="21" t="s">
        <v>39</v>
      </c>
      <c r="O15" s="106" t="s">
        <v>213</v>
      </c>
    </row>
    <row r="16" spans="1:15" ht="13.5">
      <c r="A16" s="27" t="s">
        <v>30</v>
      </c>
      <c r="B16" s="87">
        <v>26</v>
      </c>
      <c r="F16" s="2" t="s">
        <v>219</v>
      </c>
      <c r="G16" s="2">
        <f>SUM(I16:N16)</f>
        <v>18</v>
      </c>
      <c r="H16" s="87" t="s">
        <v>27</v>
      </c>
      <c r="I16" s="86">
        <f>IF($H16="筋力",'基本'!$C$5,IF($H16="耐久力",'基本'!$C$6,IF($H16="敏捷力",'基本'!$C$7,IF($H16="知力",'基本'!$C$8,IF($H16="判断力",'基本'!$C$9,IF($H16="魅力",'基本'!$C$10,""))))))</f>
        <v>6</v>
      </c>
      <c r="J16" s="2">
        <f>INT($B$3/2)</f>
        <v>7</v>
      </c>
      <c r="K16" s="20">
        <v>2</v>
      </c>
      <c r="L16" s="20">
        <v>0</v>
      </c>
      <c r="M16" s="20">
        <v>3</v>
      </c>
      <c r="N16" s="20">
        <v>0</v>
      </c>
      <c r="O16" s="105">
        <f>SUM(J16:N16)</f>
        <v>12</v>
      </c>
    </row>
    <row r="17" spans="1:15" ht="13.5">
      <c r="A17" s="27" t="s">
        <v>31</v>
      </c>
      <c r="B17" s="87">
        <v>29</v>
      </c>
      <c r="F17" s="137" t="s">
        <v>44</v>
      </c>
      <c r="G17" s="137"/>
      <c r="H17" s="137" t="s">
        <v>46</v>
      </c>
      <c r="I17" s="137"/>
      <c r="J17" s="21" t="s">
        <v>34</v>
      </c>
      <c r="K17" s="21" t="s">
        <v>35</v>
      </c>
      <c r="L17" s="21" t="s">
        <v>18</v>
      </c>
      <c r="M17" s="21" t="s">
        <v>38</v>
      </c>
      <c r="N17" s="21" t="s">
        <v>39</v>
      </c>
      <c r="O17" s="106" t="s">
        <v>213</v>
      </c>
    </row>
    <row r="18" spans="6:15" ht="13.5">
      <c r="F18" s="136" t="s">
        <v>53</v>
      </c>
      <c r="G18" s="136"/>
      <c r="H18" s="136">
        <f>SUM(K18:N18)</f>
        <v>12</v>
      </c>
      <c r="I18" s="136"/>
      <c r="J18" s="87" t="s">
        <v>27</v>
      </c>
      <c r="K18" s="86">
        <f>IF($J18="筋力",'基本'!$C$5,IF($J18="耐久力",'基本'!$C$6,IF($J18="敏捷力",'基本'!$C$7,IF($J18="知力",'基本'!$C$8,IF($J18="判断力",'基本'!$C$9,IF($J18="魅力",'基本'!$C$10,""))))))</f>
        <v>6</v>
      </c>
      <c r="L18" s="20">
        <v>0</v>
      </c>
      <c r="M18" s="20">
        <v>6</v>
      </c>
      <c r="N18" s="20">
        <v>0</v>
      </c>
      <c r="O18" s="105">
        <f>SUM(L18:N18)</f>
        <v>6</v>
      </c>
    </row>
    <row r="19" spans="6:14" ht="13.5">
      <c r="F19" s="137" t="s">
        <v>47</v>
      </c>
      <c r="G19" s="137"/>
      <c r="H19" s="137" t="s">
        <v>48</v>
      </c>
      <c r="I19" s="137"/>
      <c r="J19" s="137"/>
      <c r="K19" s="137"/>
      <c r="L19" s="137" t="s">
        <v>49</v>
      </c>
      <c r="M19" s="137"/>
      <c r="N19" s="137"/>
    </row>
    <row r="20" spans="2:14" ht="13.5">
      <c r="B20" s="137" t="s">
        <v>74</v>
      </c>
      <c r="C20" s="137"/>
      <c r="D20" s="137"/>
      <c r="F20" s="138" t="s">
        <v>30</v>
      </c>
      <c r="G20" s="138"/>
      <c r="H20" s="136" t="s">
        <v>54</v>
      </c>
      <c r="I20" s="136"/>
      <c r="J20" s="136"/>
      <c r="K20" s="136"/>
      <c r="L20" s="20">
        <v>3</v>
      </c>
      <c r="M20" s="5" t="s">
        <v>73</v>
      </c>
      <c r="N20" s="20">
        <v>10</v>
      </c>
    </row>
    <row r="21" spans="2:14" ht="14.25" thickBot="1">
      <c r="B21" s="20">
        <v>2</v>
      </c>
      <c r="C21" s="5" t="s">
        <v>72</v>
      </c>
      <c r="D21" s="26">
        <v>8</v>
      </c>
      <c r="F21" s="1"/>
      <c r="G21" s="1"/>
      <c r="H21" s="1"/>
      <c r="I21" s="1"/>
      <c r="J21" s="1"/>
      <c r="K21" s="1"/>
      <c r="L21" s="1"/>
      <c r="M21" s="1"/>
      <c r="N21" s="1"/>
    </row>
    <row r="22" spans="6:14" ht="14.25" thickBot="1">
      <c r="F22" s="139" t="s">
        <v>217</v>
      </c>
      <c r="G22" s="140"/>
      <c r="H22" s="1"/>
      <c r="I22" s="1"/>
      <c r="J22" s="1"/>
      <c r="K22" s="1"/>
      <c r="L22" s="1"/>
      <c r="M22" s="1"/>
      <c r="N22" s="1"/>
    </row>
    <row r="23" spans="6:14" ht="13.5">
      <c r="F23" s="136" t="s">
        <v>52</v>
      </c>
      <c r="G23" s="136"/>
      <c r="H23" s="136"/>
      <c r="I23" s="136"/>
      <c r="J23" s="136"/>
      <c r="K23" s="136"/>
      <c r="L23" s="136"/>
      <c r="M23" s="136"/>
      <c r="N23" s="136"/>
    </row>
    <row r="24" spans="6:15" ht="13.5">
      <c r="F24" s="21" t="s">
        <v>32</v>
      </c>
      <c r="G24" s="21" t="s">
        <v>33</v>
      </c>
      <c r="H24" s="21" t="s">
        <v>34</v>
      </c>
      <c r="I24" s="21" t="s">
        <v>35</v>
      </c>
      <c r="J24" s="21" t="s">
        <v>36</v>
      </c>
      <c r="K24" s="21" t="s">
        <v>37</v>
      </c>
      <c r="L24" s="21" t="s">
        <v>18</v>
      </c>
      <c r="M24" s="21" t="s">
        <v>38</v>
      </c>
      <c r="N24" s="21" t="s">
        <v>39</v>
      </c>
      <c r="O24" s="106" t="s">
        <v>213</v>
      </c>
    </row>
    <row r="25" spans="1:15" ht="13.5">
      <c r="A25" s="96" t="s">
        <v>179</v>
      </c>
      <c r="B25" s="96" t="s">
        <v>180</v>
      </c>
      <c r="C25" s="96" t="s">
        <v>181</v>
      </c>
      <c r="D25" s="96" t="str">
        <f>$F$4</f>
        <v>近接基礎</v>
      </c>
      <c r="F25" s="2" t="s">
        <v>219</v>
      </c>
      <c r="G25" s="2">
        <f>SUM(I25:N25)</f>
        <v>18</v>
      </c>
      <c r="H25" s="87" t="s">
        <v>27</v>
      </c>
      <c r="I25" s="86">
        <f>IF($H25="筋力",'基本'!$C$5,IF($H25="耐久力",'基本'!$C$6,IF($H25="敏捷力",'基本'!$C$7,IF($H25="知力",'基本'!$C$8,IF($H25="判断力",'基本'!$C$9,IF($H25="魅力",'基本'!$C$10,""))))))</f>
        <v>6</v>
      </c>
      <c r="J25" s="2">
        <f>INT($B$3/2)</f>
        <v>7</v>
      </c>
      <c r="K25" s="20">
        <v>2</v>
      </c>
      <c r="L25" s="20">
        <v>0</v>
      </c>
      <c r="M25" s="20">
        <v>3</v>
      </c>
      <c r="N25" s="20">
        <v>0</v>
      </c>
      <c r="O25" s="105">
        <f>SUM(J25:N25)</f>
        <v>12</v>
      </c>
    </row>
    <row r="26" spans="1:15" ht="13.5">
      <c r="A26" s="96" t="s">
        <v>182</v>
      </c>
      <c r="B26" s="96" t="s">
        <v>183</v>
      </c>
      <c r="C26" s="96" t="s">
        <v>184</v>
      </c>
      <c r="D26" s="96" t="str">
        <f>$F$13</f>
        <v>遠隔 ｳｫｰﾛｯｸ（魅力）</v>
      </c>
      <c r="F26" s="137" t="s">
        <v>44</v>
      </c>
      <c r="G26" s="137"/>
      <c r="H26" s="137" t="s">
        <v>46</v>
      </c>
      <c r="I26" s="137"/>
      <c r="J26" s="21" t="s">
        <v>34</v>
      </c>
      <c r="K26" s="21" t="s">
        <v>35</v>
      </c>
      <c r="L26" s="21" t="s">
        <v>18</v>
      </c>
      <c r="M26" s="21" t="s">
        <v>38</v>
      </c>
      <c r="N26" s="21" t="s">
        <v>39</v>
      </c>
      <c r="O26" s="106" t="s">
        <v>213</v>
      </c>
    </row>
    <row r="27" spans="1:15" ht="13.5">
      <c r="A27" s="96" t="s">
        <v>185</v>
      </c>
      <c r="B27" s="96" t="s">
        <v>186</v>
      </c>
      <c r="C27" s="96" t="s">
        <v>187</v>
      </c>
      <c r="D27" s="96" t="str">
        <f>$F$22</f>
        <v>遠隔 ｿｰｻﾗｰ（魅力）</v>
      </c>
      <c r="F27" s="136" t="s">
        <v>45</v>
      </c>
      <c r="G27" s="136"/>
      <c r="H27" s="136">
        <f>SUM(K27:N27)</f>
        <v>12</v>
      </c>
      <c r="I27" s="136"/>
      <c r="J27" s="87" t="s">
        <v>27</v>
      </c>
      <c r="K27" s="86">
        <f>IF($J27="筋力",'基本'!$C$5,IF($J27="耐久力",'基本'!$C$6,IF($J27="敏捷力",'基本'!$C$7,IF($J27="知力",'基本'!$C$8,IF($J27="判断力",'基本'!$C$9,IF($J27="魅力",'基本'!$C$10,""))))))</f>
        <v>6</v>
      </c>
      <c r="L27" s="109">
        <v>0</v>
      </c>
      <c r="M27" s="109">
        <v>6</v>
      </c>
      <c r="N27" s="109">
        <v>0</v>
      </c>
      <c r="O27" s="105">
        <f>SUM(L27:N27)</f>
        <v>6</v>
      </c>
    </row>
    <row r="28" spans="1:14" ht="13.5">
      <c r="A28" s="96" t="s">
        <v>188</v>
      </c>
      <c r="B28" s="96"/>
      <c r="C28" s="96" t="s">
        <v>189</v>
      </c>
      <c r="D28" s="96" t="str">
        <f>$F$31</f>
        <v>遠隔 ｳｫｰﾛｯｸ（知力）</v>
      </c>
      <c r="F28" s="137" t="s">
        <v>47</v>
      </c>
      <c r="G28" s="137"/>
      <c r="H28" s="137" t="s">
        <v>48</v>
      </c>
      <c r="I28" s="137"/>
      <c r="J28" s="137"/>
      <c r="K28" s="137"/>
      <c r="L28" s="137" t="s">
        <v>49</v>
      </c>
      <c r="M28" s="137"/>
      <c r="N28" s="137"/>
    </row>
    <row r="29" spans="1:14" ht="13.5">
      <c r="A29" s="96"/>
      <c r="B29" s="95"/>
      <c r="C29" s="96" t="s">
        <v>190</v>
      </c>
      <c r="D29" s="96">
        <v>0</v>
      </c>
      <c r="F29" s="138" t="s">
        <v>29</v>
      </c>
      <c r="G29" s="138"/>
      <c r="H29" s="136" t="s">
        <v>55</v>
      </c>
      <c r="I29" s="136"/>
      <c r="J29" s="136"/>
      <c r="K29" s="136"/>
      <c r="L29" s="20">
        <v>3</v>
      </c>
      <c r="M29" s="5" t="s">
        <v>73</v>
      </c>
      <c r="N29" s="20">
        <v>10</v>
      </c>
    </row>
    <row r="30" spans="1:4" ht="14.25" thickBot="1">
      <c r="A30" s="95"/>
      <c r="B30" s="95"/>
      <c r="C30" s="96" t="s">
        <v>191</v>
      </c>
      <c r="D30" s="95"/>
    </row>
    <row r="31" spans="1:14" ht="14.25" thickBot="1">
      <c r="A31" s="95"/>
      <c r="B31" s="95"/>
      <c r="C31" s="96" t="s">
        <v>192</v>
      </c>
      <c r="D31" s="95"/>
      <c r="F31" s="139" t="s">
        <v>216</v>
      </c>
      <c r="G31" s="140"/>
      <c r="H31" s="1"/>
      <c r="I31" s="1"/>
      <c r="J31" s="1"/>
      <c r="K31" s="1"/>
      <c r="L31" s="1"/>
      <c r="M31" s="1"/>
      <c r="N31" s="1"/>
    </row>
    <row r="32" spans="1:14" ht="13.5">
      <c r="A32" s="95"/>
      <c r="B32" s="95"/>
      <c r="C32" s="96" t="s">
        <v>193</v>
      </c>
      <c r="D32" s="95"/>
      <c r="F32" s="136" t="s">
        <v>69</v>
      </c>
      <c r="G32" s="136"/>
      <c r="H32" s="136"/>
      <c r="I32" s="136"/>
      <c r="J32" s="136"/>
      <c r="K32" s="136"/>
      <c r="L32" s="136"/>
      <c r="M32" s="136"/>
      <c r="N32" s="136"/>
    </row>
    <row r="33" spans="3:15" ht="13.5">
      <c r="C33" s="96" t="s">
        <v>194</v>
      </c>
      <c r="D33" s="95"/>
      <c r="F33" s="21" t="s">
        <v>32</v>
      </c>
      <c r="G33" s="21" t="s">
        <v>33</v>
      </c>
      <c r="H33" s="21" t="s">
        <v>34</v>
      </c>
      <c r="I33" s="21" t="s">
        <v>35</v>
      </c>
      <c r="J33" s="21" t="s">
        <v>36</v>
      </c>
      <c r="K33" s="21" t="s">
        <v>37</v>
      </c>
      <c r="L33" s="21" t="s">
        <v>18</v>
      </c>
      <c r="M33" s="21" t="s">
        <v>38</v>
      </c>
      <c r="N33" s="21" t="s">
        <v>39</v>
      </c>
      <c r="O33" s="106" t="s">
        <v>213</v>
      </c>
    </row>
    <row r="34" spans="3:15" ht="13.5">
      <c r="C34" s="96" t="s">
        <v>195</v>
      </c>
      <c r="D34" s="95"/>
      <c r="F34" s="5" t="s">
        <v>219</v>
      </c>
      <c r="G34" s="5">
        <f>SUM(I34:N34)</f>
        <v>17</v>
      </c>
      <c r="H34" s="87" t="s">
        <v>25</v>
      </c>
      <c r="I34" s="86">
        <f>IF($H34="筋力",'基本'!$C$5,IF($H34="耐久力",'基本'!$C$6,IF($H34="敏捷力",'基本'!$C$7,IF($H34="知力",'基本'!$C$8,IF($H34="判断力",'基本'!$C$9,IF($H34="魅力",'基本'!$C$10,""))))))</f>
        <v>5</v>
      </c>
      <c r="J34" s="5">
        <f>INT($B$3/2)</f>
        <v>7</v>
      </c>
      <c r="K34" s="20">
        <v>2</v>
      </c>
      <c r="L34" s="20">
        <v>0</v>
      </c>
      <c r="M34" s="20">
        <v>3</v>
      </c>
      <c r="N34" s="20">
        <v>0</v>
      </c>
      <c r="O34" s="105">
        <f>SUM(J34:N34)</f>
        <v>12</v>
      </c>
    </row>
    <row r="35" spans="3:15" ht="13.5">
      <c r="C35" s="96"/>
      <c r="D35" s="95"/>
      <c r="F35" s="137" t="s">
        <v>7</v>
      </c>
      <c r="G35" s="137"/>
      <c r="H35" s="137" t="s">
        <v>46</v>
      </c>
      <c r="I35" s="137"/>
      <c r="J35" s="21" t="s">
        <v>34</v>
      </c>
      <c r="K35" s="21" t="s">
        <v>35</v>
      </c>
      <c r="L35" s="21" t="s">
        <v>18</v>
      </c>
      <c r="M35" s="21" t="s">
        <v>38</v>
      </c>
      <c r="N35" s="21" t="s">
        <v>39</v>
      </c>
      <c r="O35" s="106" t="s">
        <v>213</v>
      </c>
    </row>
    <row r="36" spans="6:15" ht="13.5">
      <c r="F36" s="136" t="s">
        <v>53</v>
      </c>
      <c r="G36" s="136"/>
      <c r="H36" s="136">
        <f>SUM(K36:N36)</f>
        <v>11</v>
      </c>
      <c r="I36" s="136"/>
      <c r="J36" s="87" t="s">
        <v>25</v>
      </c>
      <c r="K36" s="86">
        <f>IF($J36="筋力",'基本'!$C$5,IF($J36="耐久力",'基本'!$C$6,IF($J36="敏捷力",'基本'!$C$7,IF($J36="知力",'基本'!$C$8,IF($J36="判断力",'基本'!$C$9,IF($J36="魅力",'基本'!$C$10,""))))))</f>
        <v>5</v>
      </c>
      <c r="L36" s="20">
        <v>0</v>
      </c>
      <c r="M36" s="20">
        <v>6</v>
      </c>
      <c r="N36" s="20">
        <v>0</v>
      </c>
      <c r="O36" s="105">
        <f>SUM(L36:N36)</f>
        <v>6</v>
      </c>
    </row>
    <row r="37" spans="6:14" ht="13.5">
      <c r="F37" s="137" t="s">
        <v>47</v>
      </c>
      <c r="G37" s="137"/>
      <c r="H37" s="137" t="s">
        <v>48</v>
      </c>
      <c r="I37" s="137"/>
      <c r="J37" s="137"/>
      <c r="K37" s="137"/>
      <c r="L37" s="137" t="s">
        <v>6</v>
      </c>
      <c r="M37" s="137"/>
      <c r="N37" s="137"/>
    </row>
    <row r="38" spans="6:14" ht="13.5">
      <c r="F38" s="138" t="s">
        <v>30</v>
      </c>
      <c r="G38" s="138"/>
      <c r="H38" s="136" t="s">
        <v>54</v>
      </c>
      <c r="I38" s="136"/>
      <c r="J38" s="136"/>
      <c r="K38" s="136"/>
      <c r="L38" s="20">
        <v>3</v>
      </c>
      <c r="M38" s="5" t="s">
        <v>73</v>
      </c>
      <c r="N38" s="20">
        <v>10</v>
      </c>
    </row>
  </sheetData>
  <sheetProtection/>
  <mergeCells count="47">
    <mergeCell ref="F5:N5"/>
    <mergeCell ref="F14:N14"/>
    <mergeCell ref="F17:G17"/>
    <mergeCell ref="H17:I17"/>
    <mergeCell ref="F8:G8"/>
    <mergeCell ref="F9:G9"/>
    <mergeCell ref="H8:I8"/>
    <mergeCell ref="H9:I9"/>
    <mergeCell ref="F10:G10"/>
    <mergeCell ref="F11:G11"/>
    <mergeCell ref="H36:I36"/>
    <mergeCell ref="H10:K10"/>
    <mergeCell ref="H11:K11"/>
    <mergeCell ref="H20:K20"/>
    <mergeCell ref="L10:N10"/>
    <mergeCell ref="F18:G18"/>
    <mergeCell ref="H18:I18"/>
    <mergeCell ref="F19:G19"/>
    <mergeCell ref="H19:K19"/>
    <mergeCell ref="L19:N19"/>
    <mergeCell ref="F4:G4"/>
    <mergeCell ref="F13:G13"/>
    <mergeCell ref="F31:G31"/>
    <mergeCell ref="L37:N37"/>
    <mergeCell ref="F38:G38"/>
    <mergeCell ref="H38:K38"/>
    <mergeCell ref="F32:N32"/>
    <mergeCell ref="F35:G35"/>
    <mergeCell ref="H35:I35"/>
    <mergeCell ref="F36:G36"/>
    <mergeCell ref="B1:D1"/>
    <mergeCell ref="B2:D2"/>
    <mergeCell ref="B20:D20"/>
    <mergeCell ref="F37:G37"/>
    <mergeCell ref="H37:K37"/>
    <mergeCell ref="F29:G29"/>
    <mergeCell ref="H29:K29"/>
    <mergeCell ref="F23:N23"/>
    <mergeCell ref="F26:G26"/>
    <mergeCell ref="H26:I26"/>
    <mergeCell ref="F27:G27"/>
    <mergeCell ref="H27:I27"/>
    <mergeCell ref="F28:G28"/>
    <mergeCell ref="H28:K28"/>
    <mergeCell ref="L28:N28"/>
    <mergeCell ref="F20:G20"/>
    <mergeCell ref="F22:G22"/>
  </mergeCells>
  <dataValidations count="2">
    <dataValidation type="list" allowBlank="1" showInputMessage="1" showErrorMessage="1" sqref="H7 J9 H16 J18 J27 H25 H34 J36">
      <formula1>$A$5:$A$10</formula1>
    </dataValidation>
    <dataValidation type="list" allowBlank="1" showInputMessage="1" showErrorMessage="1" sqref="F11:G11 F20:G20 F29:G29 F38:G38">
      <formula1>$A$14:$A$17</formula1>
    </dataValidation>
  </dataValidations>
  <printOptions/>
  <pageMargins left="0.25" right="0.25"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tabColor theme="1" tint="0.34999001026153564"/>
  </sheetPr>
  <dimension ref="A1:M46"/>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46" t="s">
        <v>43</v>
      </c>
      <c r="B1" s="217">
        <v>1</v>
      </c>
      <c r="C1" s="218"/>
      <c r="D1" s="47" t="s">
        <v>60</v>
      </c>
      <c r="E1" s="48" t="s">
        <v>114</v>
      </c>
      <c r="F1" s="219"/>
      <c r="G1" s="220"/>
      <c r="H1" s="34" t="s">
        <v>90</v>
      </c>
    </row>
    <row r="2" spans="1:8" ht="24.75" customHeight="1">
      <c r="A2" s="47" t="s">
        <v>0</v>
      </c>
      <c r="B2" s="221" t="s">
        <v>162</v>
      </c>
      <c r="C2" s="221"/>
      <c r="D2" s="221"/>
      <c r="E2" s="221"/>
      <c r="F2" s="221"/>
      <c r="G2" s="221"/>
      <c r="H2" s="34" t="s">
        <v>92</v>
      </c>
    </row>
    <row r="3" spans="1:9" ht="19.5" customHeight="1">
      <c r="A3" s="59" t="s">
        <v>82</v>
      </c>
      <c r="B3" s="1"/>
      <c r="C3" s="1"/>
      <c r="D3" s="1"/>
      <c r="I3" s="34" t="s">
        <v>79</v>
      </c>
    </row>
    <row r="4" spans="1:9" ht="13.5">
      <c r="A4" s="36" t="s">
        <v>80</v>
      </c>
      <c r="B4" s="153" t="s">
        <v>108</v>
      </c>
      <c r="C4" s="154"/>
      <c r="D4" s="154"/>
      <c r="E4" s="154"/>
      <c r="F4" s="154"/>
      <c r="G4" s="155"/>
      <c r="H4" s="56" t="s">
        <v>75</v>
      </c>
      <c r="I4" s="57">
        <v>1</v>
      </c>
    </row>
    <row r="5" spans="1:9" ht="13.5">
      <c r="A5" s="37" t="s">
        <v>57</v>
      </c>
      <c r="B5" s="153" t="s">
        <v>115</v>
      </c>
      <c r="C5" s="154"/>
      <c r="D5" s="154"/>
      <c r="E5" s="154"/>
      <c r="F5" s="154"/>
      <c r="G5" s="155"/>
      <c r="H5" s="56" t="s">
        <v>76</v>
      </c>
      <c r="I5" s="57">
        <v>1</v>
      </c>
    </row>
    <row r="6" spans="1:9" ht="13.5">
      <c r="A6" s="37" t="s">
        <v>11</v>
      </c>
      <c r="B6" s="153" t="s">
        <v>9</v>
      </c>
      <c r="C6" s="154"/>
      <c r="D6" s="155"/>
      <c r="E6" s="56" t="s">
        <v>70</v>
      </c>
      <c r="F6" s="55" t="str">
        <f>$I$8</f>
        <v>遠隔</v>
      </c>
      <c r="G6" s="55">
        <f>$J$8</f>
        <v>10</v>
      </c>
      <c r="H6" s="56" t="s">
        <v>139</v>
      </c>
      <c r="I6" s="57">
        <v>0</v>
      </c>
    </row>
    <row r="7" spans="1:9" ht="13.5">
      <c r="A7" s="38" t="s">
        <v>10</v>
      </c>
      <c r="B7" s="153" t="s">
        <v>13</v>
      </c>
      <c r="C7" s="154"/>
      <c r="D7" s="154"/>
      <c r="E7" s="154"/>
      <c r="F7" s="154"/>
      <c r="G7" s="155"/>
      <c r="H7" s="56" t="s">
        <v>140</v>
      </c>
      <c r="I7" s="57">
        <v>0</v>
      </c>
    </row>
    <row r="8" spans="1:10" ht="13.5">
      <c r="A8" s="38" t="s">
        <v>14</v>
      </c>
      <c r="B8" s="153" t="s">
        <v>116</v>
      </c>
      <c r="C8" s="154"/>
      <c r="D8" s="154"/>
      <c r="E8" s="154"/>
      <c r="F8" s="154"/>
      <c r="G8" s="155"/>
      <c r="H8" s="56" t="s">
        <v>70</v>
      </c>
      <c r="I8" s="57" t="s">
        <v>71</v>
      </c>
      <c r="J8" s="57">
        <v>10</v>
      </c>
    </row>
    <row r="9" spans="1:11" ht="13.5">
      <c r="A9" s="40" t="s">
        <v>16</v>
      </c>
      <c r="B9" s="156" t="s">
        <v>117</v>
      </c>
      <c r="C9" s="157"/>
      <c r="D9" s="157"/>
      <c r="E9" s="157"/>
      <c r="F9" s="157"/>
      <c r="G9" s="158"/>
      <c r="H9" s="58"/>
      <c r="I9" s="34" t="s">
        <v>91</v>
      </c>
      <c r="K9" s="34" t="s">
        <v>166</v>
      </c>
    </row>
    <row r="10" spans="1:13" ht="13.5">
      <c r="A10" s="39"/>
      <c r="B10" s="228" t="s">
        <v>118</v>
      </c>
      <c r="C10" s="144"/>
      <c r="D10" s="144"/>
      <c r="E10" s="144"/>
      <c r="F10" s="144"/>
      <c r="G10" s="145"/>
      <c r="H10" s="56" t="s">
        <v>86</v>
      </c>
      <c r="I10" s="57" t="s">
        <v>27</v>
      </c>
      <c r="J10" s="57" t="s">
        <v>31</v>
      </c>
      <c r="K10" s="69">
        <f>IF($I$10="知力",'基本'!$K$36,'基本'!$K$18)</f>
        <v>6</v>
      </c>
      <c r="L10" s="56" t="s">
        <v>88</v>
      </c>
      <c r="M10" s="55">
        <f>IF($I$10="知力",'基本'!$G$34,'基本'!$G$16)</f>
        <v>18</v>
      </c>
    </row>
    <row r="11" spans="1:12" ht="13.5">
      <c r="A11" s="39"/>
      <c r="B11" s="146" t="s">
        <v>209</v>
      </c>
      <c r="C11" s="144"/>
      <c r="D11" s="144"/>
      <c r="E11" s="144"/>
      <c r="F11" s="144"/>
      <c r="G11" s="145"/>
      <c r="H11" s="151" t="s">
        <v>87</v>
      </c>
      <c r="I11" s="57" t="s">
        <v>27</v>
      </c>
      <c r="K11" s="69">
        <f>IF($I$11="知力",'基本'!$K$36,'基本'!$K$18)</f>
        <v>6</v>
      </c>
      <c r="L11" s="1"/>
    </row>
    <row r="12" spans="1:13" ht="13.5">
      <c r="A12" s="39"/>
      <c r="B12" s="146" t="s">
        <v>120</v>
      </c>
      <c r="C12" s="144"/>
      <c r="D12" s="144"/>
      <c r="E12" s="144"/>
      <c r="F12" s="144"/>
      <c r="G12" s="145"/>
      <c r="H12" s="152"/>
      <c r="I12" s="57">
        <v>0</v>
      </c>
      <c r="J12" s="56" t="s">
        <v>72</v>
      </c>
      <c r="K12" s="57">
        <v>0</v>
      </c>
      <c r="L12" s="56" t="s">
        <v>89</v>
      </c>
      <c r="M12" s="55">
        <f>IF($I$11="知力",'基本'!$H$36,'基本'!$H$18)</f>
        <v>12</v>
      </c>
    </row>
    <row r="13" spans="1:11" ht="13.5">
      <c r="A13" s="39"/>
      <c r="B13" s="146"/>
      <c r="C13" s="144"/>
      <c r="D13" s="144"/>
      <c r="E13" s="144"/>
      <c r="F13" s="144"/>
      <c r="G13" s="145"/>
      <c r="H13" s="56" t="s">
        <v>85</v>
      </c>
      <c r="I13" s="55">
        <f>IF($I$11="知力",'基本'!$L$38,'基本'!$L$20)</f>
        <v>3</v>
      </c>
      <c r="J13" s="56" t="s">
        <v>72</v>
      </c>
      <c r="K13" s="55">
        <f>IF($I$11="知力",'基本'!$N$38,'基本'!$N$20)</f>
        <v>10</v>
      </c>
    </row>
    <row r="14" spans="1:11" ht="13.5">
      <c r="A14" s="39"/>
      <c r="B14" s="146"/>
      <c r="C14" s="144"/>
      <c r="D14" s="144"/>
      <c r="E14" s="144"/>
      <c r="F14" s="144"/>
      <c r="G14" s="145"/>
      <c r="H14" s="56" t="s">
        <v>74</v>
      </c>
      <c r="I14" s="55">
        <f>'基本'!$B$21</f>
        <v>2</v>
      </c>
      <c r="J14" s="56" t="s">
        <v>72</v>
      </c>
      <c r="K14" s="55">
        <f>'基本'!$D$21</f>
        <v>8</v>
      </c>
    </row>
    <row r="15" spans="1:9" ht="13.5">
      <c r="A15" s="41"/>
      <c r="B15" s="148"/>
      <c r="C15" s="149"/>
      <c r="D15" s="149"/>
      <c r="E15" s="149"/>
      <c r="F15" s="149"/>
      <c r="G15" s="150"/>
      <c r="H15" s="56" t="s">
        <v>141</v>
      </c>
      <c r="I15" s="26" t="s">
        <v>4</v>
      </c>
    </row>
    <row r="16" spans="1:5" ht="14.25" thickBot="1">
      <c r="A16" s="33" t="s">
        <v>81</v>
      </c>
      <c r="E16" s="4"/>
    </row>
    <row r="17" spans="1:11" ht="18.75" customHeight="1" thickBot="1">
      <c r="A17" s="222" t="str">
        <f>$B$2</f>
        <v>クラウン・オヴ・スターズ（維持攻撃分）</v>
      </c>
      <c r="B17" s="223"/>
      <c r="C17" s="224"/>
      <c r="D17" s="7" t="s">
        <v>4</v>
      </c>
      <c r="E17" s="63" t="s">
        <v>3</v>
      </c>
      <c r="J17"/>
      <c r="K17"/>
    </row>
    <row r="18" spans="1:11" ht="38.25" customHeight="1">
      <c r="A18" s="166" t="s">
        <v>1</v>
      </c>
      <c r="B18" s="8" t="s">
        <v>68</v>
      </c>
      <c r="C18" s="35" t="str">
        <f>$J$10</f>
        <v>意志</v>
      </c>
      <c r="D18" s="9" t="str">
        <f>"呪 + "&amp;$M$10+$I$6&amp;"+1d20"&amp;IF($I$4=1," ※","")</f>
        <v>呪 + 18+1d20 ※</v>
      </c>
      <c r="E18" s="64" t="str">
        <f>"呪 + "&amp;$M$10+2+$I$6&amp;"+1d20"&amp;IF($I$4=1," ※","")</f>
        <v>呪 + 20+1d20 ※</v>
      </c>
      <c r="J18"/>
      <c r="K18"/>
    </row>
    <row r="19" spans="1:11" ht="24.75" customHeight="1">
      <c r="A19" s="167"/>
      <c r="B19" s="169" t="s">
        <v>7</v>
      </c>
      <c r="C19" s="10" t="str">
        <f>IF($I$15=0,"",$I$15)</f>
        <v>通常</v>
      </c>
      <c r="D19" s="11">
        <f>$K$11+$I$7</f>
        <v>6</v>
      </c>
      <c r="E19" s="65">
        <f>$K$11+$I$7</f>
        <v>6</v>
      </c>
      <c r="J19"/>
      <c r="K19"/>
    </row>
    <row r="20" spans="1:11" ht="24.75" customHeight="1">
      <c r="A20" s="167"/>
      <c r="B20" s="170"/>
      <c r="C20" s="19" t="s">
        <v>2</v>
      </c>
      <c r="D20" s="16" t="str">
        <f>$K$11+$I$7&amp;"+"&amp;$I$14&amp;"d"&amp;$K$14</f>
        <v>6+2d8</v>
      </c>
      <c r="E20" s="66" t="str">
        <f>$K$11+$I$7&amp;"+"&amp;$I$14&amp;"d"&amp;$K$14</f>
        <v>6+2d8</v>
      </c>
      <c r="G20"/>
      <c r="H20"/>
      <c r="I20"/>
      <c r="J20"/>
      <c r="K20"/>
    </row>
    <row r="21" spans="1:11" ht="24.75" customHeight="1">
      <c r="A21" s="167"/>
      <c r="B21" s="141" t="s">
        <v>6</v>
      </c>
      <c r="C21" s="13" t="str">
        <f>IF($I$15=0,"",$I$15)</f>
        <v>通常</v>
      </c>
      <c r="D21" s="14" t="str">
        <f>$K$11+$I$7&amp;"+"&amp;$I$13&amp;"d"&amp;$K$13</f>
        <v>6+3d10</v>
      </c>
      <c r="E21" s="67" t="str">
        <f>$K$11+$I$7&amp;"+"&amp;$I$13&amp;"d"&amp;$K$13</f>
        <v>6+3d10</v>
      </c>
      <c r="G21"/>
      <c r="H21"/>
      <c r="I21"/>
      <c r="J21"/>
      <c r="K21"/>
    </row>
    <row r="22" spans="1:11" ht="24.75" customHeight="1" thickBot="1">
      <c r="A22" s="168"/>
      <c r="B22" s="142"/>
      <c r="C22" s="18" t="s">
        <v>2</v>
      </c>
      <c r="D22" s="15" t="str">
        <f>$K$11+$I$7+($I$14*$K$14)&amp;"+"&amp;$I$13&amp;"d"&amp;$K$13</f>
        <v>22+3d10</v>
      </c>
      <c r="E22" s="15" t="str">
        <f>$K$11+$I$7+($I$14*$K$14)&amp;"+"&amp;$I$13&amp;"d"&amp;$K$13</f>
        <v>22+3d10</v>
      </c>
      <c r="G22"/>
      <c r="H22"/>
      <c r="I22"/>
      <c r="J22"/>
      <c r="K22"/>
    </row>
    <row r="23" spans="1:11" ht="38.25" customHeight="1">
      <c r="A23" s="180" t="s">
        <v>5</v>
      </c>
      <c r="B23" s="8" t="s">
        <v>68</v>
      </c>
      <c r="C23" s="35" t="str">
        <f>$J$10</f>
        <v>意志</v>
      </c>
      <c r="D23" s="131" t="str">
        <f>"呪 + "&amp;$M$10+$I$6+1&amp;"+1d20"&amp;IF($I$4=1," ※","")</f>
        <v>呪 + 19+1d20 ※</v>
      </c>
      <c r="E23" s="64" t="str">
        <f>"呪 + "&amp;$M$10+$I$6+3&amp;"+1d20"&amp;IF($I$4=1," ※","")</f>
        <v>呪 + 21+1d20 ※</v>
      </c>
      <c r="G23"/>
      <c r="H23"/>
      <c r="I23"/>
      <c r="J23"/>
      <c r="K23"/>
    </row>
    <row r="24" spans="1:11" ht="24" customHeight="1">
      <c r="A24" s="181"/>
      <c r="B24" s="169" t="s">
        <v>7</v>
      </c>
      <c r="C24" s="12" t="str">
        <f>IF($I$15=0,"",$I$15)</f>
        <v>通常</v>
      </c>
      <c r="D24" s="132">
        <f>$K$11+$I$7+5</f>
        <v>11</v>
      </c>
      <c r="E24" s="65">
        <f>$K$11+$I$7+5</f>
        <v>11</v>
      </c>
      <c r="G24"/>
      <c r="H24"/>
      <c r="I24"/>
      <c r="J24"/>
      <c r="K24"/>
    </row>
    <row r="25" spans="1:11" ht="24" customHeight="1">
      <c r="A25" s="181"/>
      <c r="B25" s="170"/>
      <c r="C25" s="19" t="s">
        <v>2</v>
      </c>
      <c r="D25" s="133" t="str">
        <f>$K$11+$I$7+5&amp;"+"&amp;$I$14&amp;"d"&amp;$K$14</f>
        <v>11+2d8</v>
      </c>
      <c r="E25" s="66" t="str">
        <f>$K$11+$I$7+5&amp;"+"&amp;$I$14&amp;"d"&amp;$K$14</f>
        <v>11+2d8</v>
      </c>
      <c r="G25"/>
      <c r="H25"/>
      <c r="I25"/>
      <c r="J25"/>
      <c r="K25"/>
    </row>
    <row r="26" spans="1:11" ht="24" customHeight="1">
      <c r="A26" s="181"/>
      <c r="B26" s="141" t="s">
        <v>6</v>
      </c>
      <c r="C26" s="13" t="str">
        <f>IF($I$15=0,"",$I$15)</f>
        <v>通常</v>
      </c>
      <c r="D26" s="134" t="str">
        <f>$K$11+$I$7+5&amp;"+"&amp;$I$13&amp;"d"&amp;$K$13</f>
        <v>11+3d10</v>
      </c>
      <c r="E26" s="67" t="str">
        <f>$K$11+$I$7+5&amp;"+"&amp;$I$13&amp;"d"&amp;$K$13</f>
        <v>11+3d10</v>
      </c>
      <c r="G26"/>
      <c r="H26"/>
      <c r="I26"/>
      <c r="J26"/>
      <c r="K26"/>
    </row>
    <row r="27" spans="1:11" ht="24" customHeight="1" thickBot="1">
      <c r="A27" s="182"/>
      <c r="B27" s="142"/>
      <c r="C27" s="18" t="s">
        <v>2</v>
      </c>
      <c r="D27" s="135" t="str">
        <f>$K$11+$I$7+($I$14*$K$14)+5&amp;"+"&amp;$I$13&amp;"d"&amp;$K$13</f>
        <v>27+3d10</v>
      </c>
      <c r="E27" s="68" t="str">
        <f>$K$11+$I$7+($I$14*$K$14)+5&amp;"+"&amp;$I$13&amp;"d"&amp;$K$13</f>
        <v>27+3d10</v>
      </c>
      <c r="F27"/>
      <c r="G27"/>
      <c r="H27"/>
      <c r="I27"/>
      <c r="J27"/>
      <c r="K27"/>
    </row>
    <row r="28" spans="1:11" ht="24" customHeight="1">
      <c r="A28" s="238" t="s">
        <v>77</v>
      </c>
      <c r="B28" s="238"/>
      <c r="C28" s="238"/>
      <c r="D28" s="238"/>
      <c r="E28" s="238"/>
      <c r="F28" s="238"/>
      <c r="G28" s="238"/>
      <c r="I28"/>
      <c r="J28"/>
      <c r="K28"/>
    </row>
    <row r="29" spans="1:11" ht="18.75">
      <c r="A29" s="171" t="s">
        <v>235</v>
      </c>
      <c r="B29" s="171"/>
      <c r="C29" s="171"/>
      <c r="D29" s="171"/>
      <c r="E29" s="171"/>
      <c r="F29" s="171"/>
      <c r="G29" s="171"/>
      <c r="I29"/>
      <c r="J29"/>
      <c r="K29"/>
    </row>
    <row r="30" spans="1:11" ht="13.5">
      <c r="A30" s="122"/>
      <c r="B30" s="122"/>
      <c r="C30" s="122"/>
      <c r="D30" s="122"/>
      <c r="E30" s="122"/>
      <c r="F30" s="122"/>
      <c r="G30" s="122"/>
      <c r="I30"/>
      <c r="J30"/>
      <c r="K30"/>
    </row>
    <row r="31" spans="1:11" ht="13.5">
      <c r="A31" s="172" t="s">
        <v>196</v>
      </c>
      <c r="B31" s="172"/>
      <c r="C31" s="172"/>
      <c r="D31" s="172"/>
      <c r="E31" s="172"/>
      <c r="F31" s="172"/>
      <c r="G31" s="172"/>
      <c r="I31"/>
      <c r="J31"/>
      <c r="K31"/>
    </row>
    <row r="32" spans="1:7" ht="17.25">
      <c r="A32" s="171" t="s">
        <v>197</v>
      </c>
      <c r="B32" s="171"/>
      <c r="C32" s="171"/>
      <c r="D32" s="171"/>
      <c r="E32" s="171"/>
      <c r="F32" s="171"/>
      <c r="G32" s="171"/>
    </row>
    <row r="33" spans="1:7" ht="17.25">
      <c r="A33" s="144" t="s">
        <v>198</v>
      </c>
      <c r="B33" s="144"/>
      <c r="C33" s="144"/>
      <c r="D33" s="144"/>
      <c r="E33" s="144"/>
      <c r="F33" s="144"/>
      <c r="G33" s="144"/>
    </row>
    <row r="34" spans="1:11" s="61" customFormat="1" ht="11.25" customHeight="1">
      <c r="A34" s="149"/>
      <c r="B34" s="149"/>
      <c r="C34" s="149"/>
      <c r="D34" s="149"/>
      <c r="E34" s="149"/>
      <c r="F34" s="149"/>
      <c r="G34" s="149"/>
      <c r="H34" s="62"/>
      <c r="I34" s="62"/>
      <c r="J34" s="62"/>
      <c r="K34" s="62"/>
    </row>
    <row r="35" spans="1:7" ht="13.5">
      <c r="A35" s="177" t="s">
        <v>83</v>
      </c>
      <c r="B35" s="178"/>
      <c r="C35" s="178"/>
      <c r="D35" s="178"/>
      <c r="E35" s="178"/>
      <c r="F35" s="178"/>
      <c r="G35" s="179"/>
    </row>
    <row r="36" spans="1:7" ht="13.5">
      <c r="A36" s="146"/>
      <c r="B36" s="144"/>
      <c r="C36" s="144"/>
      <c r="D36" s="144"/>
      <c r="E36" s="144"/>
      <c r="F36" s="144"/>
      <c r="G36" s="145"/>
    </row>
    <row r="37" spans="1:7" ht="17.25">
      <c r="A37" s="235" t="s">
        <v>210</v>
      </c>
      <c r="B37" s="236"/>
      <c r="C37" s="236"/>
      <c r="D37" s="236"/>
      <c r="E37" s="236"/>
      <c r="F37" s="236"/>
      <c r="G37" s="237"/>
    </row>
    <row r="38" spans="1:7" ht="13.5">
      <c r="A38" s="146"/>
      <c r="B38" s="144"/>
      <c r="C38" s="144"/>
      <c r="D38" s="144"/>
      <c r="E38" s="144"/>
      <c r="F38" s="144"/>
      <c r="G38" s="145"/>
    </row>
    <row r="39" spans="1:7" ht="17.25">
      <c r="A39" s="232" t="s">
        <v>264</v>
      </c>
      <c r="B39" s="233"/>
      <c r="C39" s="233"/>
      <c r="D39" s="233"/>
      <c r="E39" s="233"/>
      <c r="F39" s="233"/>
      <c r="G39" s="234"/>
    </row>
    <row r="40" spans="1:7" ht="13.5">
      <c r="A40" s="146"/>
      <c r="B40" s="144"/>
      <c r="C40" s="144"/>
      <c r="D40" s="144"/>
      <c r="E40" s="144"/>
      <c r="F40" s="144"/>
      <c r="G40" s="145"/>
    </row>
    <row r="41" spans="1:7" ht="13.5">
      <c r="A41" s="146"/>
      <c r="B41" s="144"/>
      <c r="C41" s="144"/>
      <c r="D41" s="144"/>
      <c r="E41" s="144"/>
      <c r="F41" s="144"/>
      <c r="G41" s="145"/>
    </row>
    <row r="42" spans="1:7" ht="13.5">
      <c r="A42" s="146"/>
      <c r="B42" s="144"/>
      <c r="C42" s="144"/>
      <c r="D42" s="144"/>
      <c r="E42" s="144"/>
      <c r="F42" s="144"/>
      <c r="G42" s="145"/>
    </row>
    <row r="43" spans="1:7" ht="13.5">
      <c r="A43" s="146"/>
      <c r="B43" s="144"/>
      <c r="C43" s="144"/>
      <c r="D43" s="144"/>
      <c r="E43" s="144"/>
      <c r="F43" s="144"/>
      <c r="G43" s="145"/>
    </row>
    <row r="44" spans="1:7" ht="13.5">
      <c r="A44" s="146"/>
      <c r="B44" s="144"/>
      <c r="C44" s="144"/>
      <c r="D44" s="144"/>
      <c r="E44" s="144"/>
      <c r="F44" s="144"/>
      <c r="G44" s="145"/>
    </row>
    <row r="45" spans="1:7" ht="13.5">
      <c r="A45" s="148"/>
      <c r="B45" s="149"/>
      <c r="C45" s="149"/>
      <c r="D45" s="149"/>
      <c r="E45" s="149"/>
      <c r="F45" s="149"/>
      <c r="G45" s="150"/>
    </row>
    <row r="46" spans="1:7" ht="21">
      <c r="A46" s="76" t="s">
        <v>43</v>
      </c>
      <c r="B46" s="77">
        <f>$B$1</f>
        <v>1</v>
      </c>
      <c r="C46" s="78" t="s">
        <v>60</v>
      </c>
      <c r="D46" s="79" t="str">
        <f>$E$1</f>
        <v>一日毎</v>
      </c>
      <c r="E46" s="225" t="str">
        <f>$B$2</f>
        <v>クラウン・オヴ・スターズ（維持攻撃分）</v>
      </c>
      <c r="F46" s="226"/>
      <c r="G46" s="227"/>
    </row>
  </sheetData>
  <sheetProtection/>
  <mergeCells count="41">
    <mergeCell ref="A38:G38"/>
    <mergeCell ref="A45:G45"/>
    <mergeCell ref="A39:G39"/>
    <mergeCell ref="A40:G40"/>
    <mergeCell ref="A41:G41"/>
    <mergeCell ref="A42:G42"/>
    <mergeCell ref="A43:G43"/>
    <mergeCell ref="A44:G44"/>
    <mergeCell ref="A37:G37"/>
    <mergeCell ref="A23:A27"/>
    <mergeCell ref="B24:B25"/>
    <mergeCell ref="B26:B27"/>
    <mergeCell ref="A35:G35"/>
    <mergeCell ref="A36:G36"/>
    <mergeCell ref="A32:G32"/>
    <mergeCell ref="A33:G33"/>
    <mergeCell ref="A34:G34"/>
    <mergeCell ref="A28:G28"/>
    <mergeCell ref="B15:G15"/>
    <mergeCell ref="A17:C17"/>
    <mergeCell ref="A18:A22"/>
    <mergeCell ref="B19:B20"/>
    <mergeCell ref="B21:B22"/>
    <mergeCell ref="A31:G31"/>
    <mergeCell ref="A29:G29"/>
    <mergeCell ref="E46:G46"/>
    <mergeCell ref="H11:H12"/>
    <mergeCell ref="B12:G12"/>
    <mergeCell ref="B1:C1"/>
    <mergeCell ref="F1:G1"/>
    <mergeCell ref="B2:G2"/>
    <mergeCell ref="B4:G4"/>
    <mergeCell ref="B5:G5"/>
    <mergeCell ref="B6:D6"/>
    <mergeCell ref="B7:G7"/>
    <mergeCell ref="B8:G8"/>
    <mergeCell ref="B9:G9"/>
    <mergeCell ref="B10:G10"/>
    <mergeCell ref="B11:G11"/>
    <mergeCell ref="B13:G13"/>
    <mergeCell ref="B14:G14"/>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11.xml><?xml version="1.0" encoding="utf-8"?>
<worksheet xmlns="http://schemas.openxmlformats.org/spreadsheetml/2006/main" xmlns:r="http://schemas.openxmlformats.org/officeDocument/2006/relationships">
  <sheetPr>
    <tabColor theme="1" tint="0.34999001026153564"/>
  </sheetPr>
  <dimension ref="A1:M50"/>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46" t="s">
        <v>43</v>
      </c>
      <c r="B1" s="217">
        <v>5</v>
      </c>
      <c r="C1" s="218"/>
      <c r="D1" s="47" t="s">
        <v>60</v>
      </c>
      <c r="E1" s="48" t="s">
        <v>114</v>
      </c>
      <c r="F1" s="219"/>
      <c r="G1" s="220"/>
      <c r="H1" s="34" t="s">
        <v>90</v>
      </c>
    </row>
    <row r="2" spans="1:8" ht="24.75" customHeight="1">
      <c r="A2" s="47" t="s">
        <v>0</v>
      </c>
      <c r="B2" s="221" t="s">
        <v>69</v>
      </c>
      <c r="C2" s="221"/>
      <c r="D2" s="221"/>
      <c r="E2" s="221"/>
      <c r="F2" s="221"/>
      <c r="G2" s="221"/>
      <c r="H2" s="34" t="s">
        <v>92</v>
      </c>
    </row>
    <row r="3" spans="1:9" ht="19.5" customHeight="1">
      <c r="A3" s="32" t="s">
        <v>82</v>
      </c>
      <c r="B3" s="1"/>
      <c r="C3" s="1"/>
      <c r="D3" s="1"/>
      <c r="I3" s="34" t="s">
        <v>79</v>
      </c>
    </row>
    <row r="4" spans="1:9" ht="13.5">
      <c r="A4" s="36" t="s">
        <v>80</v>
      </c>
      <c r="B4" s="153" t="s">
        <v>121</v>
      </c>
      <c r="C4" s="154"/>
      <c r="D4" s="154"/>
      <c r="E4" s="154"/>
      <c r="F4" s="154"/>
      <c r="G4" s="155"/>
      <c r="H4" s="22" t="s">
        <v>75</v>
      </c>
      <c r="I4" s="25">
        <v>1</v>
      </c>
    </row>
    <row r="5" spans="1:9" ht="13.5">
      <c r="A5" s="37" t="s">
        <v>57</v>
      </c>
      <c r="B5" s="153" t="s">
        <v>122</v>
      </c>
      <c r="C5" s="154"/>
      <c r="D5" s="154"/>
      <c r="E5" s="154"/>
      <c r="F5" s="154"/>
      <c r="G5" s="155"/>
      <c r="H5" s="22" t="s">
        <v>76</v>
      </c>
      <c r="I5" s="25">
        <v>1</v>
      </c>
    </row>
    <row r="6" spans="1:9" ht="13.5">
      <c r="A6" s="37" t="s">
        <v>11</v>
      </c>
      <c r="B6" s="153" t="s">
        <v>9</v>
      </c>
      <c r="C6" s="154"/>
      <c r="D6" s="155"/>
      <c r="E6" s="22" t="s">
        <v>96</v>
      </c>
      <c r="F6" s="55" t="str">
        <f>$I$8</f>
        <v>遠隔</v>
      </c>
      <c r="G6" s="55">
        <f>$J$8</f>
        <v>10</v>
      </c>
      <c r="H6" s="54" t="s">
        <v>139</v>
      </c>
      <c r="I6" s="53">
        <v>2</v>
      </c>
    </row>
    <row r="7" spans="1:9" ht="13.5">
      <c r="A7" s="38" t="s">
        <v>10</v>
      </c>
      <c r="B7" s="153" t="s">
        <v>13</v>
      </c>
      <c r="C7" s="154"/>
      <c r="D7" s="154"/>
      <c r="E7" s="154"/>
      <c r="F7" s="154"/>
      <c r="G7" s="155"/>
      <c r="H7" s="54" t="s">
        <v>140</v>
      </c>
      <c r="I7" s="53">
        <v>0</v>
      </c>
    </row>
    <row r="8" spans="1:10" ht="13.5">
      <c r="A8" s="38" t="s">
        <v>14</v>
      </c>
      <c r="B8" s="153" t="s">
        <v>123</v>
      </c>
      <c r="C8" s="154"/>
      <c r="D8" s="154"/>
      <c r="E8" s="154"/>
      <c r="F8" s="154"/>
      <c r="G8" s="155"/>
      <c r="H8" s="22" t="s">
        <v>70</v>
      </c>
      <c r="I8" s="25" t="s">
        <v>71</v>
      </c>
      <c r="J8" s="25">
        <v>10</v>
      </c>
    </row>
    <row r="9" spans="1:11" ht="13.5">
      <c r="A9" s="38" t="s">
        <v>16</v>
      </c>
      <c r="B9" s="153" t="s">
        <v>124</v>
      </c>
      <c r="C9" s="154"/>
      <c r="D9" s="154"/>
      <c r="E9" s="154"/>
      <c r="F9" s="154"/>
      <c r="G9" s="155"/>
      <c r="H9" s="3"/>
      <c r="I9" s="34" t="s">
        <v>91</v>
      </c>
      <c r="K9" s="34" t="s">
        <v>166</v>
      </c>
    </row>
    <row r="10" spans="1:13" ht="13.5">
      <c r="A10" s="39" t="s">
        <v>147</v>
      </c>
      <c r="B10" s="228" t="s">
        <v>125</v>
      </c>
      <c r="C10" s="144"/>
      <c r="D10" s="144"/>
      <c r="E10" s="144"/>
      <c r="F10" s="144"/>
      <c r="G10" s="145"/>
      <c r="H10" s="22" t="s">
        <v>86</v>
      </c>
      <c r="I10" s="25" t="s">
        <v>25</v>
      </c>
      <c r="J10" s="25" t="s">
        <v>30</v>
      </c>
      <c r="K10" s="69">
        <f>IF($I$10="知力",'基本'!$K$36,'基本'!$K$18)</f>
        <v>5</v>
      </c>
      <c r="L10" s="22" t="s">
        <v>88</v>
      </c>
      <c r="M10" s="6">
        <f>IF($I$10="知力",'基本'!$G$34,'基本'!$G$16)</f>
        <v>17</v>
      </c>
    </row>
    <row r="11" spans="1:12" ht="17.25">
      <c r="A11" s="39"/>
      <c r="B11" s="146" t="s">
        <v>221</v>
      </c>
      <c r="C11" s="144"/>
      <c r="D11" s="144"/>
      <c r="E11" s="144"/>
      <c r="F11" s="144"/>
      <c r="G11" s="145"/>
      <c r="H11" s="151" t="s">
        <v>87</v>
      </c>
      <c r="I11" s="25" t="s">
        <v>25</v>
      </c>
      <c r="K11" s="69">
        <f>IF($I$11="知力",'基本'!$K$36,'基本'!$K$18)</f>
        <v>5</v>
      </c>
      <c r="L11" s="1"/>
    </row>
    <row r="12" spans="1:13" ht="13.5">
      <c r="A12" s="39"/>
      <c r="B12" s="146" t="s">
        <v>163</v>
      </c>
      <c r="C12" s="144"/>
      <c r="D12" s="144"/>
      <c r="E12" s="144"/>
      <c r="F12" s="144"/>
      <c r="G12" s="145"/>
      <c r="H12" s="152"/>
      <c r="I12" s="25">
        <v>3</v>
      </c>
      <c r="J12" s="22" t="s">
        <v>72</v>
      </c>
      <c r="K12" s="25">
        <v>10</v>
      </c>
      <c r="L12" s="22" t="s">
        <v>89</v>
      </c>
      <c r="M12" s="6">
        <f>IF($I$11="知力",'基本'!$H$36,'基本'!$H$18)</f>
        <v>11</v>
      </c>
    </row>
    <row r="13" spans="1:11" ht="13.5">
      <c r="A13" s="39"/>
      <c r="B13" s="146" t="s">
        <v>164</v>
      </c>
      <c r="C13" s="144"/>
      <c r="D13" s="144"/>
      <c r="E13" s="144"/>
      <c r="F13" s="144"/>
      <c r="G13" s="145"/>
      <c r="H13" s="22" t="s">
        <v>85</v>
      </c>
      <c r="I13" s="6">
        <f>IF($I$11="知力",'基本'!$L$38,'基本'!$L$20)</f>
        <v>3</v>
      </c>
      <c r="J13" s="22" t="s">
        <v>72</v>
      </c>
      <c r="K13" s="6">
        <f>IF($I$11="知力",'基本'!$N$38,'基本'!$N$20)</f>
        <v>10</v>
      </c>
    </row>
    <row r="14" spans="1:11" ht="13.5">
      <c r="A14" s="40" t="s">
        <v>126</v>
      </c>
      <c r="B14" s="156" t="s">
        <v>211</v>
      </c>
      <c r="C14" s="157"/>
      <c r="D14" s="157"/>
      <c r="E14" s="157"/>
      <c r="F14" s="157"/>
      <c r="G14" s="158"/>
      <c r="H14" s="22" t="s">
        <v>93</v>
      </c>
      <c r="I14" s="6">
        <f>'基本'!$B$21</f>
        <v>2</v>
      </c>
      <c r="J14" s="22" t="s">
        <v>72</v>
      </c>
      <c r="K14" s="6">
        <f>'基本'!$D$21</f>
        <v>8</v>
      </c>
    </row>
    <row r="15" spans="1:9" ht="13.5">
      <c r="A15" s="41"/>
      <c r="B15" s="148" t="s">
        <v>127</v>
      </c>
      <c r="C15" s="149"/>
      <c r="D15" s="149"/>
      <c r="E15" s="149"/>
      <c r="F15" s="149"/>
      <c r="G15" s="150"/>
      <c r="H15" s="54" t="s">
        <v>141</v>
      </c>
      <c r="I15" s="26" t="s">
        <v>220</v>
      </c>
    </row>
    <row r="16" spans="1:8" ht="14.25" thickBot="1">
      <c r="A16" s="33" t="s">
        <v>81</v>
      </c>
      <c r="E16" s="4"/>
      <c r="H16" s="34" t="s">
        <v>148</v>
      </c>
    </row>
    <row r="17" spans="1:7" ht="18.75" customHeight="1" thickBot="1">
      <c r="A17" s="222" t="str">
        <f>$B$2</f>
        <v>フューリィ・オヴ・ギベス</v>
      </c>
      <c r="B17" s="223"/>
      <c r="C17" s="224"/>
      <c r="D17" s="7" t="s">
        <v>4</v>
      </c>
      <c r="E17" s="70" t="s">
        <v>3</v>
      </c>
      <c r="F17" s="71" t="s">
        <v>58</v>
      </c>
      <c r="G17" s="17" t="s">
        <v>59</v>
      </c>
    </row>
    <row r="18" spans="1:7" ht="38.25" customHeight="1">
      <c r="A18" s="166" t="s">
        <v>1</v>
      </c>
      <c r="B18" s="8" t="s">
        <v>68</v>
      </c>
      <c r="C18" s="35" t="str">
        <f>$J$10</f>
        <v>反応</v>
      </c>
      <c r="D18" s="9" t="str">
        <f>"呪 + "&amp;$M$10+$I$6&amp;"+1d20"&amp;IF($I$4=1," ※","")</f>
        <v>呪 + 19+1d20 ※</v>
      </c>
      <c r="E18" s="9" t="str">
        <f>"呪 + "&amp;$M$10+2+$I$6&amp;"+1d20"&amp;IF($I$4=1," ※","")</f>
        <v>呪 + 21+1d20 ※</v>
      </c>
      <c r="F18" s="9" t="str">
        <f>"呪 + "&amp;$M$10+$I$6+3&amp;"+1d20"&amp;" ※"</f>
        <v>呪 + 22+1d20 ※</v>
      </c>
      <c r="G18" s="64" t="str">
        <f>"呪 + "&amp;$M$10+$I$6+5&amp;"+1d20"&amp;" ※"</f>
        <v>呪 + 24+1d20 ※</v>
      </c>
    </row>
    <row r="19" spans="1:10" ht="24.75" customHeight="1">
      <c r="A19" s="167"/>
      <c r="B19" s="169" t="s">
        <v>7</v>
      </c>
      <c r="C19" s="10" t="s">
        <v>126</v>
      </c>
      <c r="D19" s="11" t="str">
        <f>"("&amp;$M$12+IF($I$15="光輝",3,0)+$I$7&amp;"+"&amp;$I$12&amp;"d"&amp;$K$12&amp;")/2"</f>
        <v>(11+3d10)/2</v>
      </c>
      <c r="E19" s="11" t="str">
        <f>"("&amp;$M$12+IF($I$15="光輝",3,0)+$I$7&amp;"+"&amp;$I$12&amp;"d"&amp;$K$12&amp;")/2"</f>
        <v>(11+3d10)/2</v>
      </c>
      <c r="F19" s="11" t="str">
        <f>"("&amp;$M$12+IF($I$15="光輝",3,0)+$I$7&amp;"+"&amp;$I$12&amp;"d"&amp;$K$12&amp;")/2"</f>
        <v>(11+3d10)/2</v>
      </c>
      <c r="G19" s="65" t="str">
        <f>"("&amp;$M$12+IF($I$15="光輝",3,0)+$I$7&amp;"+"&amp;$I$12&amp;"d"&amp;$K$12&amp;")/2"</f>
        <v>(11+3d10)/2</v>
      </c>
      <c r="J19" s="73" t="s">
        <v>167</v>
      </c>
    </row>
    <row r="20" spans="1:10" ht="24.75" customHeight="1">
      <c r="A20" s="167"/>
      <c r="B20" s="240"/>
      <c r="C20" s="10" t="str">
        <f>IF($I$15=0,"",$I$15)</f>
        <v>通常</v>
      </c>
      <c r="D20" s="11" t="str">
        <f>$M$12+IF($I$16="光輝",3,0)+$I$7&amp;"+"&amp;$I$12&amp;"d"&amp;$K$12</f>
        <v>11+3d10</v>
      </c>
      <c r="E20" s="11" t="str">
        <f>$M$12+IF($I$16="光輝",3,0)+$I$7&amp;"+"&amp;$I$12&amp;"d"&amp;$K$12</f>
        <v>11+3d10</v>
      </c>
      <c r="F20" s="11" t="str">
        <f>$M$12+IF($I$16="光輝",3,0)+$I$7&amp;"+"&amp;$I$12&amp;"d"&amp;$K$12&amp;IF($I$5=1," ★","")</f>
        <v>11+3d10 ★</v>
      </c>
      <c r="G20" s="65" t="str">
        <f>$M$12+IF($I$16="光輝",3,0)+$I$7&amp;"+"&amp;$I$12&amp;"d"&amp;$K$12&amp;IF($I$5=1," ★","")</f>
        <v>11+3d10 ★</v>
      </c>
      <c r="J20" s="73" t="s">
        <v>167</v>
      </c>
    </row>
    <row r="21" spans="1:11" ht="24.75" customHeight="1">
      <c r="A21" s="167"/>
      <c r="B21" s="170"/>
      <c r="C21" s="19" t="s">
        <v>2</v>
      </c>
      <c r="D21" s="16" t="str">
        <f>$M$12+IF($I$15="光輝",3,0)+$I$7&amp;"+"&amp;$I$12&amp;"d"&amp;$K$12&amp;"+"&amp;$I$14&amp;"d"&amp;$K$14</f>
        <v>11+3d10+2d8</v>
      </c>
      <c r="E21" s="16" t="str">
        <f>$M$12+IF($I$15="光輝",3,0)+$I$7&amp;"+"&amp;$I$12&amp;"d"&amp;$K$12&amp;"+"&amp;$I$14&amp;"d"&amp;$K$14</f>
        <v>11+3d10+2d8</v>
      </c>
      <c r="F21" s="16" t="str">
        <f>$M$12+IF($I$15="光輝",3,0)+$I$7&amp;"+"&amp;$I$12&amp;"d"&amp;$K$12&amp;"+"&amp;$I$14&amp;"d"&amp;$K$14&amp;IF($I$5=1," ★","")</f>
        <v>11+3d10+2d8 ★</v>
      </c>
      <c r="G21" s="66" t="str">
        <f>$M$12+IF($I$15="光輝",3,0)+$I$7&amp;"+"&amp;$I$12&amp;"d"&amp;$K$12&amp;"+"&amp;$I$14&amp;"d"&amp;$K$14&amp;IF($I$5=1," ★","")</f>
        <v>11+3d10+2d8 ★</v>
      </c>
      <c r="I21"/>
      <c r="J21"/>
      <c r="K21"/>
    </row>
    <row r="22" spans="1:11" ht="24.75" customHeight="1">
      <c r="A22" s="167"/>
      <c r="B22" s="141" t="s">
        <v>6</v>
      </c>
      <c r="C22" s="13" t="str">
        <f>IF($I$15=0,"",$I$15)</f>
        <v>通常</v>
      </c>
      <c r="D22" s="14" t="str">
        <f>($I$12*$K$12)+$M$12+IF($I$15="光輝",3,0)+$I$7&amp;"+"&amp;$I$13&amp;"d"&amp;$K$13</f>
        <v>41+3d10</v>
      </c>
      <c r="E22" s="14" t="str">
        <f>($I$12*$K$12)+$M$12+IF($I$15="光輝",3,0)+$I$7&amp;"+"&amp;$I$13&amp;"d"&amp;$K$13</f>
        <v>41+3d10</v>
      </c>
      <c r="F22" s="14" t="str">
        <f>($I$12*$K$12)+$M$12+IF($I$15="光輝",3,0)+$I$7&amp;"+"&amp;$I$13&amp;"d"&amp;$K$13&amp;IF($I$5=1," ★","")</f>
        <v>41+3d10 ★</v>
      </c>
      <c r="G22" s="67" t="str">
        <f>($I$12*$K$12)+$M$12+IF($I$15="光輝",3,0)+$I$7&amp;"+"&amp;$I$13&amp;"d"&amp;$K$13&amp;IF($I$5=1," ★","")</f>
        <v>41+3d10 ★</v>
      </c>
      <c r="I22"/>
      <c r="J22"/>
      <c r="K22"/>
    </row>
    <row r="23" spans="1:11" ht="24.75" customHeight="1" thickBot="1">
      <c r="A23" s="168"/>
      <c r="B23" s="142"/>
      <c r="C23" s="18" t="s">
        <v>2</v>
      </c>
      <c r="D23" s="15" t="str">
        <f>($I$12*$K$12)+$M$12+IF($I$15="光輝",3,0)+$I$7+($I$14*$K$14)&amp;"+"&amp;$I$13&amp;"d"&amp;$K$13</f>
        <v>57+3d10</v>
      </c>
      <c r="E23" s="15" t="str">
        <f>($I$12*$K$12)+$M$12+IF($I$15="光輝",3,0)+$I$7+($I$14*$K$14)&amp;"+"&amp;$I$13&amp;"d"&amp;$K$13</f>
        <v>57+3d10</v>
      </c>
      <c r="F23" s="15" t="str">
        <f>($I$12*$K$12)+$M$12+IF($I$15="光輝",3,0)+$I$7+($I$14*$K$14)&amp;"+"&amp;$I$13&amp;"d"&amp;$K$13&amp;IF($I$5=1," ★","")</f>
        <v>57+3d10 ★</v>
      </c>
      <c r="G23" s="68" t="str">
        <f>($I$12*$K$12)+$M$12+IF($I$15="光輝",3,0)+$I$7+($I$14*$K$14)&amp;"+"&amp;$I$13&amp;"d"&amp;$K$13&amp;IF($I$5=1," ★","")</f>
        <v>57+3d10 ★</v>
      </c>
      <c r="I23"/>
      <c r="J23"/>
      <c r="K23"/>
    </row>
    <row r="24" spans="1:11" ht="38.25" customHeight="1">
      <c r="A24" s="180" t="s">
        <v>5</v>
      </c>
      <c r="B24" s="8" t="s">
        <v>68</v>
      </c>
      <c r="C24" s="35" t="str">
        <f>$J$10</f>
        <v>反応</v>
      </c>
      <c r="D24" s="9" t="str">
        <f>"呪 + "&amp;$M$10+$I$6+1&amp;"+1d20"&amp;IF($I$4=1," ※","")</f>
        <v>呪 + 20+1d20 ※</v>
      </c>
      <c r="E24" s="9" t="str">
        <f>"呪 + "&amp;$M$10+$I$6+3&amp;"+1d20"&amp;IF($I$4=1," ※","")</f>
        <v>呪 + 22+1d20 ※</v>
      </c>
      <c r="F24" s="9" t="str">
        <f>"呪 + "&amp;$M$10+$I$6+4&amp;"+1d20"&amp;" ※"</f>
        <v>呪 + 23+1d20 ※</v>
      </c>
      <c r="G24" s="64" t="str">
        <f>"呪 + "&amp;$M$10+$I$6+5+1&amp;"+1d20"&amp;" ※"</f>
        <v>呪 + 25+1d20 ※</v>
      </c>
      <c r="I24"/>
      <c r="J24"/>
      <c r="K24"/>
    </row>
    <row r="25" spans="1:10" ht="24.75" customHeight="1">
      <c r="A25" s="242"/>
      <c r="B25" s="239" t="s">
        <v>7</v>
      </c>
      <c r="C25" s="12" t="s">
        <v>126</v>
      </c>
      <c r="D25" s="74" t="str">
        <f>"("&amp;$M$12+IF($I$15="光輝",3,0)+$I$7&amp;"+"&amp;$I$12&amp;"d"&amp;$K$12&amp;")/2"</f>
        <v>(11+3d10)/2</v>
      </c>
      <c r="E25" s="74" t="str">
        <f>"("&amp;$M$12+IF($I$15="光輝",3,0)+$I$7&amp;"+"&amp;$I$12&amp;"d"&amp;$K$12&amp;")/2"</f>
        <v>(11+3d10)/2</v>
      </c>
      <c r="F25" s="74" t="str">
        <f>"("&amp;$M$12+IF($I$15="光輝",3,0)+$I$7&amp;"+"&amp;$I$12&amp;"d"&amp;$K$12&amp;")/2"</f>
        <v>(11+3d10)/2</v>
      </c>
      <c r="G25" s="75" t="str">
        <f>"("&amp;$M$12+IF($I$15="光輝",3,0)+$I$7&amp;"+"&amp;$I$12&amp;"d"&amp;$K$12&amp;")/2"</f>
        <v>(11+3d10)/2</v>
      </c>
      <c r="J25" s="73" t="s">
        <v>167</v>
      </c>
    </row>
    <row r="26" spans="1:11" ht="24" customHeight="1">
      <c r="A26" s="181"/>
      <c r="B26" s="240"/>
      <c r="C26" s="12" t="str">
        <f>IF($I$15=0,"",$I$15)</f>
        <v>通常</v>
      </c>
      <c r="D26" s="74" t="str">
        <f>$M$12+IF($I$15="光輝",3,0)+$I$7+5&amp;"+"&amp;$I$12&amp;$J$12&amp;$K$12</f>
        <v>16+3d10</v>
      </c>
      <c r="E26" s="74" t="str">
        <f>$M$12+IF($I$15="光輝",3,0)+$I$7+5&amp;"+"&amp;$I$12&amp;$J$12&amp;$K$12</f>
        <v>16+3d10</v>
      </c>
      <c r="F26" s="74" t="str">
        <f>$M$12+IF($I$15="光輝",3,0)+$I$7+5&amp;"+"&amp;$I$12&amp;$J$12&amp;$K$12&amp;IF($I$5=1," ★","")</f>
        <v>16+3d10 ★</v>
      </c>
      <c r="G26" s="75" t="str">
        <f>$M$12+IF($I$15="光輝",3,0)+$I$7+5&amp;"+"&amp;$I$12&amp;$J$12&amp;$K$12&amp;IF($I$5=1," ★","")</f>
        <v>16+3d10 ★</v>
      </c>
      <c r="I26"/>
      <c r="J26"/>
      <c r="K26"/>
    </row>
    <row r="27" spans="1:11" ht="24" customHeight="1">
      <c r="A27" s="181"/>
      <c r="B27" s="241"/>
      <c r="C27" s="19" t="s">
        <v>2</v>
      </c>
      <c r="D27" s="16" t="str">
        <f>$M$12+IF($I$15="光輝",3,0)+$I$7+5&amp;"+"&amp;$I$12&amp;"d"&amp;$K$12&amp;"+"&amp;$I$14&amp;"d"&amp;$K$14</f>
        <v>16+3d10+2d8</v>
      </c>
      <c r="E27" s="16" t="str">
        <f>$M$12+IF($I$15="光輝",3,0)+$I$7+5&amp;"+"&amp;$I$12&amp;"d"&amp;$K$12&amp;"+"&amp;$I$14&amp;"d"&amp;$K$14</f>
        <v>16+3d10+2d8</v>
      </c>
      <c r="F27" s="16" t="str">
        <f>$M$12+IF($I$15="光輝",3,0)+$I$7+5&amp;"+"&amp;$I$12&amp;"d"&amp;$K$12&amp;"+"&amp;$I$14&amp;"d"&amp;$K$14&amp;IF($I$5=1," ★","")</f>
        <v>16+3d10+2d8 ★</v>
      </c>
      <c r="G27" s="66" t="str">
        <f>$M$12+IF($I$15="光輝",3,0)+$I$7+5&amp;"+"&amp;$I$12&amp;"d"&amp;$K$12&amp;"+"&amp;$I$14&amp;"d"&amp;$K$14&amp;IF($I$5=1," ★","")</f>
        <v>16+3d10+2d8 ★</v>
      </c>
      <c r="I27"/>
      <c r="J27"/>
      <c r="K27"/>
    </row>
    <row r="28" spans="1:11" ht="24" customHeight="1">
      <c r="A28" s="181"/>
      <c r="B28" s="141" t="s">
        <v>6</v>
      </c>
      <c r="C28" s="13" t="str">
        <f>IF($I$15=0,"",$I$15)</f>
        <v>通常</v>
      </c>
      <c r="D28" s="14" t="str">
        <f>($I$12*$K$12)+5+$M$12+IF($I15="光輝",3,0)+$I$7&amp;"+"&amp;$I$13&amp;"d"&amp;$K$13</f>
        <v>46+3d10</v>
      </c>
      <c r="E28" s="14" t="str">
        <f>($I$12*$K$12)+5+$M$12+IF($I15="光輝",3,0)+$I$7&amp;"+"&amp;$I$13&amp;"d"&amp;$K$13</f>
        <v>46+3d10</v>
      </c>
      <c r="F28" s="14" t="str">
        <f>($I$12*$K$12)+5+$M$12+IF($I15="光輝",3,0)+$I$7&amp;"+"&amp;$I$13&amp;"d"&amp;$K$13&amp;IF($I$5=1," ★","")</f>
        <v>46+3d10 ★</v>
      </c>
      <c r="G28" s="67" t="str">
        <f>($I$12*$K$12)+5+$M$12+IF($I$15="光輝",3,0)+$I$7&amp;"+"&amp;$I$13&amp;"d"&amp;$K$13&amp;IF($I$5=1," ★","")</f>
        <v>46+3d10 ★</v>
      </c>
      <c r="I28"/>
      <c r="J28"/>
      <c r="K28"/>
    </row>
    <row r="29" spans="1:11" ht="24" customHeight="1" thickBot="1">
      <c r="A29" s="182"/>
      <c r="B29" s="142"/>
      <c r="C29" s="18" t="s">
        <v>2</v>
      </c>
      <c r="D29" s="15" t="str">
        <f>($I$12*$K$12)+5+$M$12+IF($I$15="光輝",3,0)+$I$7+($I$14*$K$14)&amp;"+"&amp;$I$13&amp;"d"&amp;$K$13</f>
        <v>62+3d10</v>
      </c>
      <c r="E29" s="15" t="str">
        <f>($I$12*$K$12)+5+$M$12+IF($I$15="光輝",3,0)+$I$7+($I$14*$K$14)&amp;"+"&amp;$I$13&amp;"d"&amp;$K$13</f>
        <v>62+3d10</v>
      </c>
      <c r="F29" s="15" t="str">
        <f>($I$12*$K$12)+5+$M$12+IF($I$15="光輝",3,0)+$I$7+($I$14*$K$14)&amp;"+"&amp;$I$13&amp;"d"&amp;$K$13&amp;IF($I$5=1," ★","")</f>
        <v>62+3d10 ★</v>
      </c>
      <c r="G29" s="68" t="str">
        <f>($I$12*$K$12)+5+$M$12+IF($I$15="光輝",3,0)+$I$7+($I$14*$K$14)&amp;"+"&amp;$I$13&amp;"d"&amp;$K$13&amp;IF($I$5=1," ★","")</f>
        <v>62+3d10 ★</v>
      </c>
      <c r="I29"/>
      <c r="J29"/>
      <c r="K29"/>
    </row>
    <row r="30" spans="1:11" ht="19.5" customHeight="1">
      <c r="A30" s="183" t="s">
        <v>77</v>
      </c>
      <c r="B30" s="183"/>
      <c r="C30" s="183"/>
      <c r="D30" s="183"/>
      <c r="E30" s="183"/>
      <c r="F30" s="183"/>
      <c r="G30" s="183"/>
      <c r="I30"/>
      <c r="J30"/>
      <c r="K30"/>
    </row>
    <row r="31" spans="1:11" ht="18.75">
      <c r="A31" s="171" t="s">
        <v>235</v>
      </c>
      <c r="B31" s="171"/>
      <c r="C31" s="171"/>
      <c r="D31" s="171"/>
      <c r="E31" s="171"/>
      <c r="F31" s="171"/>
      <c r="G31" s="171"/>
      <c r="I31"/>
      <c r="J31"/>
      <c r="K31"/>
    </row>
    <row r="32" spans="1:11" ht="6.75" customHeight="1">
      <c r="A32" s="122"/>
      <c r="B32" s="122"/>
      <c r="C32" s="122"/>
      <c r="D32" s="122"/>
      <c r="E32" s="122"/>
      <c r="F32" s="122"/>
      <c r="G32" s="122"/>
      <c r="I32"/>
      <c r="J32"/>
      <c r="K32"/>
    </row>
    <row r="33" spans="1:7" ht="13.5">
      <c r="A33" s="172" t="s">
        <v>238</v>
      </c>
      <c r="B33" s="172"/>
      <c r="C33" s="172"/>
      <c r="D33" s="172"/>
      <c r="E33" s="172"/>
      <c r="F33" s="172"/>
      <c r="G33" s="172"/>
    </row>
    <row r="34" spans="1:7" ht="13.5">
      <c r="A34" s="171" t="s">
        <v>239</v>
      </c>
      <c r="B34" s="171"/>
      <c r="C34" s="171"/>
      <c r="D34" s="171"/>
      <c r="E34" s="171"/>
      <c r="F34" s="171"/>
      <c r="G34" s="171"/>
    </row>
    <row r="35" spans="1:7" ht="13.5">
      <c r="A35" s="171" t="s">
        <v>237</v>
      </c>
      <c r="B35" s="171"/>
      <c r="C35" s="171"/>
      <c r="D35" s="171"/>
      <c r="E35" s="171"/>
      <c r="F35" s="171"/>
      <c r="G35" s="171"/>
    </row>
    <row r="36" spans="1:11" ht="13.5">
      <c r="A36" s="176" t="s">
        <v>78</v>
      </c>
      <c r="B36" s="176"/>
      <c r="C36" s="176"/>
      <c r="D36" s="176"/>
      <c r="E36" s="176"/>
      <c r="F36" s="176"/>
      <c r="G36" s="176"/>
      <c r="I36"/>
      <c r="J36"/>
      <c r="K36"/>
    </row>
    <row r="37" spans="1:7" ht="17.25">
      <c r="A37" s="171" t="s">
        <v>84</v>
      </c>
      <c r="B37" s="171"/>
      <c r="C37" s="171"/>
      <c r="D37" s="171"/>
      <c r="E37" s="171"/>
      <c r="F37" s="171"/>
      <c r="G37" s="171"/>
    </row>
    <row r="38" spans="1:7" ht="13.5">
      <c r="A38" s="144" t="s">
        <v>65</v>
      </c>
      <c r="B38" s="144"/>
      <c r="C38" s="144"/>
      <c r="D38" s="144"/>
      <c r="E38" s="144"/>
      <c r="F38" s="144"/>
      <c r="G38" s="144"/>
    </row>
    <row r="39" spans="1:7" ht="6.75" customHeight="1">
      <c r="A39" s="120"/>
      <c r="B39" s="120"/>
      <c r="C39" s="120"/>
      <c r="D39" s="120"/>
      <c r="E39" s="120"/>
      <c r="F39" s="120"/>
      <c r="G39" s="120"/>
    </row>
    <row r="40" spans="1:11" ht="13.5">
      <c r="A40" s="172" t="s">
        <v>196</v>
      </c>
      <c r="B40" s="172"/>
      <c r="C40" s="172"/>
      <c r="D40" s="172"/>
      <c r="E40" s="172"/>
      <c r="F40" s="172"/>
      <c r="G40" s="172"/>
      <c r="I40"/>
      <c r="J40"/>
      <c r="K40"/>
    </row>
    <row r="41" spans="1:7" ht="17.25">
      <c r="A41" s="171" t="s">
        <v>272</v>
      </c>
      <c r="B41" s="171"/>
      <c r="C41" s="171"/>
      <c r="D41" s="171"/>
      <c r="E41" s="171"/>
      <c r="F41" s="171"/>
      <c r="G41" s="171"/>
    </row>
    <row r="42" spans="1:11" s="61" customFormat="1" ht="7.5" customHeight="1">
      <c r="A42" s="149"/>
      <c r="B42" s="149"/>
      <c r="C42" s="149"/>
      <c r="D42" s="149"/>
      <c r="E42" s="149"/>
      <c r="F42" s="149"/>
      <c r="G42" s="149"/>
      <c r="H42" s="62"/>
      <c r="I42" s="62"/>
      <c r="J42" s="62"/>
      <c r="K42" s="62"/>
    </row>
    <row r="43" spans="1:7" ht="13.5">
      <c r="A43" s="177" t="s">
        <v>271</v>
      </c>
      <c r="B43" s="178"/>
      <c r="C43" s="178"/>
      <c r="D43" s="178"/>
      <c r="E43" s="178"/>
      <c r="F43" s="178"/>
      <c r="G43" s="179"/>
    </row>
    <row r="44" spans="1:7" ht="4.5" customHeight="1">
      <c r="A44" s="146" t="s">
        <v>270</v>
      </c>
      <c r="B44" s="144"/>
      <c r="C44" s="144"/>
      <c r="D44" s="144"/>
      <c r="E44" s="144"/>
      <c r="F44" s="144"/>
      <c r="G44" s="145"/>
    </row>
    <row r="45" spans="1:7" ht="13.5">
      <c r="A45" s="146" t="s">
        <v>212</v>
      </c>
      <c r="B45" s="144"/>
      <c r="C45" s="144"/>
      <c r="D45" s="144"/>
      <c r="E45" s="144"/>
      <c r="F45" s="144"/>
      <c r="G45" s="145"/>
    </row>
    <row r="46" spans="1:7" ht="13.5">
      <c r="A46" s="146" t="s">
        <v>268</v>
      </c>
      <c r="B46" s="144"/>
      <c r="C46" s="144"/>
      <c r="D46" s="144"/>
      <c r="E46" s="144"/>
      <c r="F46" s="144"/>
      <c r="G46" s="145"/>
    </row>
    <row r="47" spans="1:7" ht="8.25" customHeight="1">
      <c r="A47" s="146"/>
      <c r="B47" s="144"/>
      <c r="C47" s="144"/>
      <c r="D47" s="144"/>
      <c r="E47" s="144"/>
      <c r="F47" s="144"/>
      <c r="G47" s="145"/>
    </row>
    <row r="48" spans="1:7" ht="13.5">
      <c r="A48" s="146" t="s">
        <v>269</v>
      </c>
      <c r="B48" s="144"/>
      <c r="C48" s="144"/>
      <c r="D48" s="144"/>
      <c r="E48" s="144"/>
      <c r="F48" s="144"/>
      <c r="G48" s="145"/>
    </row>
    <row r="49" spans="1:7" ht="5.25" customHeight="1">
      <c r="A49" s="123"/>
      <c r="B49" s="124"/>
      <c r="C49" s="124"/>
      <c r="D49" s="124"/>
      <c r="E49" s="124"/>
      <c r="F49" s="124"/>
      <c r="G49" s="125"/>
    </row>
    <row r="50" spans="1:7" ht="21">
      <c r="A50" s="46" t="s">
        <v>43</v>
      </c>
      <c r="B50" s="72">
        <f>$B$1</f>
        <v>5</v>
      </c>
      <c r="C50" s="47" t="s">
        <v>60</v>
      </c>
      <c r="D50" s="48" t="str">
        <f>$E$1</f>
        <v>一日毎</v>
      </c>
      <c r="E50" s="225" t="str">
        <f>$B$2</f>
        <v>フューリィ・オヴ・ギベス</v>
      </c>
      <c r="F50" s="226"/>
      <c r="G50" s="227"/>
    </row>
  </sheetData>
  <sheetProtection/>
  <mergeCells count="41">
    <mergeCell ref="B9:G9"/>
    <mergeCell ref="B12:G12"/>
    <mergeCell ref="B13:G13"/>
    <mergeCell ref="B10:G10"/>
    <mergeCell ref="B11:G11"/>
    <mergeCell ref="B14:G14"/>
    <mergeCell ref="A43:G43"/>
    <mergeCell ref="A18:A23"/>
    <mergeCell ref="A42:G42"/>
    <mergeCell ref="A35:G35"/>
    <mergeCell ref="A36:G36"/>
    <mergeCell ref="A37:G37"/>
    <mergeCell ref="B8:G8"/>
    <mergeCell ref="B6:D6"/>
    <mergeCell ref="B7:G7"/>
    <mergeCell ref="A47:G47"/>
    <mergeCell ref="A46:G46"/>
    <mergeCell ref="A17:C17"/>
    <mergeCell ref="A24:A29"/>
    <mergeCell ref="B28:B29"/>
    <mergeCell ref="B19:B21"/>
    <mergeCell ref="B22:B23"/>
    <mergeCell ref="E50:G50"/>
    <mergeCell ref="A44:G44"/>
    <mergeCell ref="A45:G45"/>
    <mergeCell ref="A48:G48"/>
    <mergeCell ref="A30:G30"/>
    <mergeCell ref="B1:C1"/>
    <mergeCell ref="F1:G1"/>
    <mergeCell ref="B2:G2"/>
    <mergeCell ref="B4:G4"/>
    <mergeCell ref="B5:G5"/>
    <mergeCell ref="H11:H12"/>
    <mergeCell ref="A41:G41"/>
    <mergeCell ref="A31:G31"/>
    <mergeCell ref="A33:G33"/>
    <mergeCell ref="A34:G34"/>
    <mergeCell ref="B25:B27"/>
    <mergeCell ref="A38:G38"/>
    <mergeCell ref="A40:G40"/>
    <mergeCell ref="B15:G15"/>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12.xml><?xml version="1.0" encoding="utf-8"?>
<worksheet xmlns="http://schemas.openxmlformats.org/spreadsheetml/2006/main" xmlns:r="http://schemas.openxmlformats.org/officeDocument/2006/relationships">
  <sheetPr>
    <tabColor theme="1" tint="0.34999001026153564"/>
  </sheetPr>
  <dimension ref="A1:M52"/>
  <sheetViews>
    <sheetView zoomScalePageLayoutView="0" workbookViewId="0" topLeftCell="A1">
      <selection activeCell="G26" sqref="G26"/>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46" t="s">
        <v>43</v>
      </c>
      <c r="B1" s="217">
        <v>15</v>
      </c>
      <c r="C1" s="218"/>
      <c r="D1" s="47" t="s">
        <v>60</v>
      </c>
      <c r="E1" s="48" t="s">
        <v>114</v>
      </c>
      <c r="F1" s="219"/>
      <c r="G1" s="220"/>
      <c r="H1" s="34" t="s">
        <v>90</v>
      </c>
    </row>
    <row r="2" spans="1:8" ht="24.75" customHeight="1">
      <c r="A2" s="47" t="s">
        <v>0</v>
      </c>
      <c r="B2" s="221" t="s">
        <v>222</v>
      </c>
      <c r="C2" s="221"/>
      <c r="D2" s="221"/>
      <c r="E2" s="221"/>
      <c r="F2" s="221"/>
      <c r="G2" s="221"/>
      <c r="H2" s="34" t="s">
        <v>92</v>
      </c>
    </row>
    <row r="3" spans="1:9" ht="19.5" customHeight="1">
      <c r="A3" s="114" t="s">
        <v>82</v>
      </c>
      <c r="B3" s="1"/>
      <c r="C3" s="1"/>
      <c r="D3" s="1"/>
      <c r="I3" s="34" t="s">
        <v>79</v>
      </c>
    </row>
    <row r="4" spans="1:9" ht="13.5">
      <c r="A4" s="36" t="s">
        <v>80</v>
      </c>
      <c r="B4" s="153" t="s">
        <v>223</v>
      </c>
      <c r="C4" s="154"/>
      <c r="D4" s="154"/>
      <c r="E4" s="154"/>
      <c r="F4" s="154"/>
      <c r="G4" s="155"/>
      <c r="H4" s="111" t="s">
        <v>75</v>
      </c>
      <c r="I4" s="112">
        <v>0</v>
      </c>
    </row>
    <row r="5" spans="1:9" ht="13.5">
      <c r="A5" s="37" t="s">
        <v>57</v>
      </c>
      <c r="B5" s="153" t="s">
        <v>224</v>
      </c>
      <c r="C5" s="154"/>
      <c r="D5" s="154"/>
      <c r="E5" s="154"/>
      <c r="F5" s="154"/>
      <c r="G5" s="155"/>
      <c r="H5" s="111" t="s">
        <v>76</v>
      </c>
      <c r="I5" s="112">
        <v>1</v>
      </c>
    </row>
    <row r="6" spans="1:9" ht="13.5">
      <c r="A6" s="37" t="s">
        <v>11</v>
      </c>
      <c r="B6" s="153" t="s">
        <v>9</v>
      </c>
      <c r="C6" s="154"/>
      <c r="D6" s="155"/>
      <c r="E6" s="111" t="s">
        <v>70</v>
      </c>
      <c r="F6" s="110" t="str">
        <f>$I$8</f>
        <v>遠隔</v>
      </c>
      <c r="G6" s="110">
        <f>$J$8</f>
        <v>10</v>
      </c>
      <c r="H6" s="111" t="s">
        <v>139</v>
      </c>
      <c r="I6" s="112">
        <v>0</v>
      </c>
    </row>
    <row r="7" spans="1:9" ht="13.5">
      <c r="A7" s="38" t="s">
        <v>10</v>
      </c>
      <c r="B7" s="153" t="s">
        <v>13</v>
      </c>
      <c r="C7" s="154"/>
      <c r="D7" s="154"/>
      <c r="E7" s="154"/>
      <c r="F7" s="154"/>
      <c r="G7" s="155"/>
      <c r="H7" s="111" t="s">
        <v>140</v>
      </c>
      <c r="I7" s="112">
        <v>0</v>
      </c>
    </row>
    <row r="8" spans="1:10" ht="13.5">
      <c r="A8" s="38" t="s">
        <v>14</v>
      </c>
      <c r="B8" s="153" t="s">
        <v>226</v>
      </c>
      <c r="C8" s="154"/>
      <c r="D8" s="154"/>
      <c r="E8" s="154"/>
      <c r="F8" s="154"/>
      <c r="G8" s="155"/>
      <c r="H8" s="111" t="s">
        <v>70</v>
      </c>
      <c r="I8" s="112" t="s">
        <v>71</v>
      </c>
      <c r="J8" s="112">
        <v>10</v>
      </c>
    </row>
    <row r="9" spans="1:11" ht="13.5">
      <c r="A9" s="40" t="s">
        <v>16</v>
      </c>
      <c r="B9" s="156" t="s">
        <v>279</v>
      </c>
      <c r="C9" s="157"/>
      <c r="D9" s="157"/>
      <c r="E9" s="157"/>
      <c r="F9" s="157"/>
      <c r="G9" s="158"/>
      <c r="H9" s="113"/>
      <c r="I9" s="34" t="s">
        <v>91</v>
      </c>
      <c r="K9" s="34" t="s">
        <v>166</v>
      </c>
    </row>
    <row r="10" spans="1:13" ht="13.5">
      <c r="A10" s="39"/>
      <c r="B10" s="228" t="s">
        <v>228</v>
      </c>
      <c r="C10" s="144"/>
      <c r="D10" s="144"/>
      <c r="E10" s="144"/>
      <c r="F10" s="144"/>
      <c r="G10" s="145"/>
      <c r="H10" s="111" t="s">
        <v>86</v>
      </c>
      <c r="I10" s="112" t="s">
        <v>27</v>
      </c>
      <c r="J10" s="112" t="s">
        <v>31</v>
      </c>
      <c r="K10" s="110">
        <f>IF($I$10="知力",'基本'!$K$36,'基本'!$K$18)</f>
        <v>6</v>
      </c>
      <c r="L10" s="111" t="s">
        <v>88</v>
      </c>
      <c r="M10" s="110">
        <f>IF($I$10="知力",'基本'!$G$34,'基本'!$G$16)</f>
        <v>18</v>
      </c>
    </row>
    <row r="11" spans="1:12" ht="13.5">
      <c r="A11" s="39"/>
      <c r="B11" s="146" t="s">
        <v>229</v>
      </c>
      <c r="C11" s="144"/>
      <c r="D11" s="144"/>
      <c r="E11" s="144"/>
      <c r="F11" s="144"/>
      <c r="G11" s="145"/>
      <c r="H11" s="151" t="s">
        <v>87</v>
      </c>
      <c r="I11" s="112" t="s">
        <v>27</v>
      </c>
      <c r="K11" s="110">
        <f>IF($I$11="知力",'基本'!$K$36,'基本'!$K$18)</f>
        <v>6</v>
      </c>
      <c r="L11" s="1"/>
    </row>
    <row r="12" spans="1:13" ht="13.5">
      <c r="A12" s="39"/>
      <c r="B12" s="229" t="s">
        <v>230</v>
      </c>
      <c r="C12" s="230"/>
      <c r="D12" s="230"/>
      <c r="E12" s="230"/>
      <c r="F12" s="230"/>
      <c r="G12" s="231"/>
      <c r="H12" s="152"/>
      <c r="I12" s="112">
        <v>4</v>
      </c>
      <c r="J12" s="111" t="s">
        <v>72</v>
      </c>
      <c r="K12" s="112">
        <v>6</v>
      </c>
      <c r="L12" s="111" t="s">
        <v>89</v>
      </c>
      <c r="M12" s="110">
        <f>IF($I$11="知力",'基本'!$H$36,'基本'!$H$18)</f>
        <v>12</v>
      </c>
    </row>
    <row r="13" spans="1:11" ht="13.5">
      <c r="A13" s="39"/>
      <c r="B13" s="229" t="s">
        <v>231</v>
      </c>
      <c r="C13" s="230"/>
      <c r="D13" s="230"/>
      <c r="E13" s="230"/>
      <c r="F13" s="230"/>
      <c r="G13" s="231"/>
      <c r="H13" s="111" t="s">
        <v>85</v>
      </c>
      <c r="I13" s="110">
        <f>IF($I$11="知力",'基本'!$L$38,'基本'!$L$20)</f>
        <v>3</v>
      </c>
      <c r="J13" s="111" t="s">
        <v>72</v>
      </c>
      <c r="K13" s="110">
        <f>IF($I$11="知力",'基本'!$N$38,'基本'!$N$20)</f>
        <v>10</v>
      </c>
    </row>
    <row r="14" spans="1:11" ht="13.5">
      <c r="A14" s="41"/>
      <c r="B14" s="248" t="s">
        <v>232</v>
      </c>
      <c r="C14" s="249"/>
      <c r="D14" s="249"/>
      <c r="E14" s="249"/>
      <c r="F14" s="249"/>
      <c r="G14" s="250"/>
      <c r="H14" s="111" t="s">
        <v>74</v>
      </c>
      <c r="I14" s="110">
        <f>'基本'!$B$21</f>
        <v>2</v>
      </c>
      <c r="J14" s="111" t="s">
        <v>72</v>
      </c>
      <c r="K14" s="110">
        <f>'基本'!$D$21</f>
        <v>8</v>
      </c>
    </row>
    <row r="15" spans="1:9" ht="13.5">
      <c r="A15" s="41" t="s">
        <v>225</v>
      </c>
      <c r="B15" s="148" t="s">
        <v>233</v>
      </c>
      <c r="C15" s="149"/>
      <c r="D15" s="149"/>
      <c r="E15" s="149"/>
      <c r="F15" s="149"/>
      <c r="G15" s="150"/>
      <c r="H15" s="111" t="s">
        <v>141</v>
      </c>
      <c r="I15" s="112" t="s">
        <v>227</v>
      </c>
    </row>
    <row r="16" spans="1:8" ht="14.25" thickBot="1">
      <c r="A16" s="33" t="s">
        <v>81</v>
      </c>
      <c r="E16" s="4"/>
      <c r="H16" s="34"/>
    </row>
    <row r="17" spans="1:7" ht="18.75" customHeight="1" thickBot="1">
      <c r="A17" s="222" t="str">
        <f>$B$2</f>
        <v>ウィスパーズ・オヴ・ザ・ヴォイド</v>
      </c>
      <c r="B17" s="223"/>
      <c r="C17" s="224"/>
      <c r="D17" s="7" t="s">
        <v>4</v>
      </c>
      <c r="E17" s="70" t="s">
        <v>3</v>
      </c>
      <c r="F17" s="71" t="s">
        <v>58</v>
      </c>
      <c r="G17" s="17" t="s">
        <v>59</v>
      </c>
    </row>
    <row r="18" spans="1:7" ht="33" customHeight="1">
      <c r="A18" s="166" t="s">
        <v>1</v>
      </c>
      <c r="B18" s="8" t="s">
        <v>68</v>
      </c>
      <c r="C18" s="35" t="str">
        <f>$J$10</f>
        <v>意志</v>
      </c>
      <c r="D18" s="9" t="str">
        <f>"呪 + "&amp;$M$10+$I$6&amp;"+1d20"&amp;IF($I$4=1," ※","")</f>
        <v>呪 + 18+1d20</v>
      </c>
      <c r="E18" s="9" t="str">
        <f>"呪 + "&amp;$M$10+2+$I$6&amp;"+1d20"&amp;IF($I$4=1," ※","")</f>
        <v>呪 + 20+1d20</v>
      </c>
      <c r="F18" s="9" t="str">
        <f>"呪 + "&amp;$M$10+$I$6+3&amp;"+1d20"&amp;" ※"</f>
        <v>呪 + 21+1d20 ※</v>
      </c>
      <c r="G18" s="64" t="str">
        <f>"呪 + "&amp;$M$10+$I$6+5&amp;"+1d20"&amp;" ※"</f>
        <v>呪 + 23+1d20 ※</v>
      </c>
    </row>
    <row r="19" spans="1:10" ht="22.5" customHeight="1">
      <c r="A19" s="167"/>
      <c r="B19" s="169" t="s">
        <v>7</v>
      </c>
      <c r="C19" s="10" t="s">
        <v>126</v>
      </c>
      <c r="D19" s="11" t="str">
        <f>"("&amp;$M$12+IF($I$15="光輝",3,0)+$I$7&amp;"+"&amp;$I$12&amp;"d"&amp;$K$12&amp;")/2"</f>
        <v>(12+4d6)/2</v>
      </c>
      <c r="E19" s="11" t="str">
        <f>"("&amp;$M$12+IF($I$15="光輝",3,0)+$I$7&amp;"+"&amp;$I$12&amp;"d"&amp;$K$12&amp;")/2"</f>
        <v>(12+4d6)/2</v>
      </c>
      <c r="F19" s="11" t="str">
        <f>"("&amp;$M$12+IF($I$15="光輝",3,0)+$I$7&amp;"+"&amp;$I$12&amp;"d"&amp;$K$12&amp;")/2"</f>
        <v>(12+4d6)/2</v>
      </c>
      <c r="G19" s="65" t="str">
        <f>"("&amp;$M$12+IF($I$15="光輝",3,0)+$I$7&amp;"+"&amp;$I$12&amp;"d"&amp;$K$12&amp;")/2"</f>
        <v>(12+4d6)/2</v>
      </c>
      <c r="J19" s="73" t="s">
        <v>167</v>
      </c>
    </row>
    <row r="20" spans="1:10" ht="22.5" customHeight="1">
      <c r="A20" s="167"/>
      <c r="B20" s="240"/>
      <c r="C20" s="10" t="str">
        <f>IF($I$15=0,"",$I$15)</f>
        <v>精神</v>
      </c>
      <c r="D20" s="11" t="str">
        <f>$M$12+IF($I$16="光輝",3,0)+$I$7&amp;"+"&amp;$I$12&amp;"d"&amp;$K$12</f>
        <v>12+4d6</v>
      </c>
      <c r="E20" s="11" t="str">
        <f>$M$12+IF($I$16="光輝",3,0)+$I$7&amp;"+"&amp;$I$12&amp;"d"&amp;$K$12</f>
        <v>12+4d6</v>
      </c>
      <c r="F20" s="11" t="str">
        <f>$M$12+IF($I$16="光輝",3,0)+$I$7&amp;"+"&amp;$I$12&amp;"d"&amp;$K$12&amp;IF($I$5=1," ★","")</f>
        <v>12+4d6 ★</v>
      </c>
      <c r="G20" s="65" t="str">
        <f>$M$12+IF($I$16="光輝",3,0)+$I$7&amp;"+"&amp;$I$12&amp;"d"&amp;$K$12&amp;IF($I$5=1," ★","")</f>
        <v>12+4d6 ★</v>
      </c>
      <c r="J20" s="73" t="s">
        <v>167</v>
      </c>
    </row>
    <row r="21" spans="1:11" ht="22.5" customHeight="1">
      <c r="A21" s="167"/>
      <c r="B21" s="170"/>
      <c r="C21" s="19" t="s">
        <v>2</v>
      </c>
      <c r="D21" s="16" t="str">
        <f>$M$12+IF($I$15="光輝",3,0)+$I$7&amp;"+"&amp;$I$12&amp;"d"&amp;$K$12&amp;"+"&amp;$I$14&amp;"d"&amp;$K$14</f>
        <v>12+4d6+2d8</v>
      </c>
      <c r="E21" s="16" t="str">
        <f>$M$12+IF($I$15="光輝",3,0)+$I$7&amp;"+"&amp;$I$12&amp;"d"&amp;$K$12&amp;"+"&amp;$I$14&amp;"d"&amp;$K$14</f>
        <v>12+4d6+2d8</v>
      </c>
      <c r="F21" s="16" t="str">
        <f>$M$12+IF($I$15="光輝",3,0)+$I$7&amp;"+"&amp;$I$12&amp;"d"&amp;$K$12&amp;"+"&amp;$I$14&amp;"d"&amp;$K$14&amp;IF($I$5=1," ★","")</f>
        <v>12+4d6+2d8 ★</v>
      </c>
      <c r="G21" s="66" t="str">
        <f>$M$12+IF($I$15="光輝",3,0)+$I$7&amp;"+"&amp;$I$12&amp;"d"&amp;$K$12&amp;"+"&amp;$I$14&amp;"d"&amp;$K$14&amp;IF($I$5=1," ★","")</f>
        <v>12+4d6+2d8 ★</v>
      </c>
      <c r="I21"/>
      <c r="J21"/>
      <c r="K21"/>
    </row>
    <row r="22" spans="1:11" ht="22.5" customHeight="1">
      <c r="A22" s="167"/>
      <c r="B22" s="141" t="s">
        <v>6</v>
      </c>
      <c r="C22" s="13" t="str">
        <f>IF($I$15=0,"",$I$15)</f>
        <v>精神</v>
      </c>
      <c r="D22" s="14" t="str">
        <f>($I$12*$K$12)+$M$12+IF($I$15="光輝",3,0)+$I$7&amp;"+"&amp;$I$13&amp;"d"&amp;$K$13</f>
        <v>36+3d10</v>
      </c>
      <c r="E22" s="14" t="str">
        <f>($I$12*$K$12)+$M$12+IF($I$15="光輝",3,0)+$I$7&amp;"+"&amp;$I$13&amp;"d"&amp;$K$13</f>
        <v>36+3d10</v>
      </c>
      <c r="F22" s="14" t="str">
        <f>($I$12*$K$12)+$M$12+IF($I$15="光輝",3,0)+$I$7&amp;"+"&amp;$I$13&amp;"d"&amp;$K$13&amp;IF($I$5=1," ★","")</f>
        <v>36+3d10 ★</v>
      </c>
      <c r="G22" s="67" t="str">
        <f>($I$12*$K$12)+$M$12+IF($I$15="光輝",3,0)+$I$7&amp;"+"&amp;$I$13&amp;"d"&amp;$K$13&amp;IF($I$5=1," ★","")</f>
        <v>36+3d10 ★</v>
      </c>
      <c r="I22"/>
      <c r="J22"/>
      <c r="K22"/>
    </row>
    <row r="23" spans="1:11" ht="22.5" customHeight="1" thickBot="1">
      <c r="A23" s="168"/>
      <c r="B23" s="142"/>
      <c r="C23" s="18" t="s">
        <v>2</v>
      </c>
      <c r="D23" s="15" t="str">
        <f>($I$12*$K$12)+$M$12+IF($I$15="光輝",3,0)+$I$7+($I$14*$K$14)&amp;"+"&amp;$I$13&amp;"d"&amp;$K$13</f>
        <v>52+3d10</v>
      </c>
      <c r="E23" s="15" t="str">
        <f>($I$12*$K$12)+$M$12+IF($I$15="光輝",3,0)+$I$7+($I$14*$K$14)&amp;"+"&amp;$I$13&amp;"d"&amp;$K$13</f>
        <v>52+3d10</v>
      </c>
      <c r="F23" s="15" t="str">
        <f>($I$12*$K$12)+$M$12+IF($I$15="光輝",3,0)+$I$7+($I$14*$K$14)&amp;"+"&amp;$I$13&amp;"d"&amp;$K$13&amp;IF($I$5=1," ★","")</f>
        <v>52+3d10 ★</v>
      </c>
      <c r="G23" s="68" t="str">
        <f>($I$12*$K$12)+$M$12+IF($I$15="光輝",3,0)+$I$7+($I$14*$K$14)&amp;"+"&amp;$I$13&amp;"d"&amp;$K$13&amp;IF($I$5=1," ★","")</f>
        <v>52+3d10 ★</v>
      </c>
      <c r="I23"/>
      <c r="J23"/>
      <c r="K23"/>
    </row>
    <row r="24" spans="1:11" ht="33" customHeight="1">
      <c r="A24" s="180" t="s">
        <v>5</v>
      </c>
      <c r="B24" s="8" t="s">
        <v>68</v>
      </c>
      <c r="C24" s="35" t="str">
        <f>$J$10</f>
        <v>意志</v>
      </c>
      <c r="D24" s="9" t="str">
        <f>"呪 + "&amp;$M$10+$I$6+1&amp;"+1d20"&amp;IF($I$4=1," ※","")</f>
        <v>呪 + 19+1d20</v>
      </c>
      <c r="E24" s="9" t="str">
        <f>"呪 + "&amp;$M$10+$I$6+3&amp;"+1d20"&amp;IF($I$4=1," ※","")</f>
        <v>呪 + 21+1d20</v>
      </c>
      <c r="F24" s="9" t="str">
        <f>"呪 + "&amp;$M$10+$I$6+4&amp;"+1d20"&amp;" ※"</f>
        <v>呪 + 22+1d20 ※</v>
      </c>
      <c r="G24" s="64" t="str">
        <f>"呪 + "&amp;$M$10+$I$6+5+1&amp;"+1d20"&amp;" ※"</f>
        <v>呪 + 24+1d20 ※</v>
      </c>
      <c r="I24"/>
      <c r="J24"/>
      <c r="K24"/>
    </row>
    <row r="25" spans="1:10" ht="22.5" customHeight="1">
      <c r="A25" s="242"/>
      <c r="B25" s="239" t="s">
        <v>7</v>
      </c>
      <c r="C25" s="12" t="s">
        <v>126</v>
      </c>
      <c r="D25" s="74" t="str">
        <f>"("&amp;$M$12+IF($I$15="光輝",3,0)+$I$7&amp;"+"&amp;$I$12&amp;"d"&amp;$K$12&amp;")/2"</f>
        <v>(12+4d6)/2</v>
      </c>
      <c r="E25" s="74" t="str">
        <f>"("&amp;$M$12+IF($I$15="光輝",3,0)+$I$7&amp;"+"&amp;$I$12&amp;"d"&amp;$K$12&amp;")/2"</f>
        <v>(12+4d6)/2</v>
      </c>
      <c r="F25" s="74" t="str">
        <f>"("&amp;$M$12+IF($I$15="光輝",3,0)+$I$7&amp;"+"&amp;$I$12&amp;"d"&amp;$K$12&amp;")/2"</f>
        <v>(12+4d6)/2</v>
      </c>
      <c r="G25" s="75" t="str">
        <f>"("&amp;$M$12+IF($I$15="光輝",3,0)+$I$7&amp;"+"&amp;$I$12&amp;"d"&amp;$K$12&amp;")/2"</f>
        <v>(12+4d6)/2</v>
      </c>
      <c r="J25" s="73" t="s">
        <v>167</v>
      </c>
    </row>
    <row r="26" spans="1:11" ht="22.5" customHeight="1">
      <c r="A26" s="181"/>
      <c r="B26" s="240"/>
      <c r="C26" s="12" t="str">
        <f>IF($I$15=0,"",$I$15)</f>
        <v>精神</v>
      </c>
      <c r="D26" s="74" t="str">
        <f>$M$12+IF($I$15="光輝",3,0)+$I$7+5&amp;"+"&amp;$I$12&amp;$J$12&amp;$K$12</f>
        <v>17+4d6</v>
      </c>
      <c r="E26" s="74" t="str">
        <f>$M$12+IF($I$15="光輝",3,0)+$I$7+5&amp;"+"&amp;$I$12&amp;$J$12&amp;$K$12</f>
        <v>17+4d6</v>
      </c>
      <c r="F26" s="74" t="str">
        <f>$M$12+IF($I$15="光輝",3,0)+$I$7+5&amp;"+"&amp;$I$12&amp;$J$12&amp;$K$12&amp;IF($I$5=1," ★","")</f>
        <v>17+4d6 ★</v>
      </c>
      <c r="G26" s="75" t="str">
        <f>$M$12+IF($I$15="光輝",3,0)+$I$7+5&amp;"+"&amp;$I$12&amp;$J$12&amp;$K$12&amp;IF($I$5=1," ★","")</f>
        <v>17+4d6 ★</v>
      </c>
      <c r="I26"/>
      <c r="J26"/>
      <c r="K26"/>
    </row>
    <row r="27" spans="1:11" ht="22.5" customHeight="1">
      <c r="A27" s="181"/>
      <c r="B27" s="241"/>
      <c r="C27" s="19" t="s">
        <v>2</v>
      </c>
      <c r="D27" s="16" t="str">
        <f>$M$12+IF($I$15="光輝",3,0)+$I$7+5&amp;"+"&amp;$I$12&amp;"d"&amp;$K$12&amp;"+"&amp;$I$14&amp;"d"&amp;$K$14</f>
        <v>17+4d6+2d8</v>
      </c>
      <c r="E27" s="16" t="str">
        <f>$M$12+IF($I$15="光輝",3,0)+$I$7+5&amp;"+"&amp;$I$12&amp;"d"&amp;$K$12&amp;"+"&amp;$I$14&amp;"d"&amp;$K$14</f>
        <v>17+4d6+2d8</v>
      </c>
      <c r="F27" s="16" t="str">
        <f>$M$12+IF($I$15="光輝",3,0)+$I$7+5&amp;"+"&amp;$I$12&amp;"d"&amp;$K$12&amp;"+"&amp;$I$14&amp;"d"&amp;$K$14&amp;IF($I$5=1," ★","")</f>
        <v>17+4d6+2d8 ★</v>
      </c>
      <c r="G27" s="66" t="str">
        <f>$M$12+IF($I$15="光輝",3,0)+$I$7+5&amp;"+"&amp;$I$12&amp;"d"&amp;$K$12&amp;"+"&amp;$I$14&amp;"d"&amp;$K$14&amp;IF($I$5=1," ★","")</f>
        <v>17+4d6+2d8 ★</v>
      </c>
      <c r="I27"/>
      <c r="J27"/>
      <c r="K27"/>
    </row>
    <row r="28" spans="1:11" ht="22.5" customHeight="1">
      <c r="A28" s="181"/>
      <c r="B28" s="141" t="s">
        <v>6</v>
      </c>
      <c r="C28" s="13" t="str">
        <f>IF($I$15=0,"",$I$15)</f>
        <v>精神</v>
      </c>
      <c r="D28" s="14" t="str">
        <f>($I$12*$K$12)+5+$M$12+IF($I15="光輝",3,0)+$I$7&amp;"+"&amp;$I$13&amp;"d"&amp;$K$13</f>
        <v>41+3d10</v>
      </c>
      <c r="E28" s="14" t="str">
        <f>($I$12*$K$12)+5+$M$12+IF($I15="光輝",3,0)+$I$7&amp;"+"&amp;$I$13&amp;"d"&amp;$K$13</f>
        <v>41+3d10</v>
      </c>
      <c r="F28" s="14" t="str">
        <f>($I$12*$K$12)+5+$M$12+IF($I15="光輝",3,0)+$I$7&amp;"+"&amp;$I$13&amp;"d"&amp;$K$13&amp;IF($I$5=1," ★","")</f>
        <v>41+3d10 ★</v>
      </c>
      <c r="G28" s="67" t="str">
        <f>($I$12*$K$12)+5+$M$12+IF($I$15="光輝",3,0)+$I$7&amp;"+"&amp;$I$13&amp;"d"&amp;$K$13&amp;IF($I$5=1," ★","")</f>
        <v>41+3d10 ★</v>
      </c>
      <c r="I28"/>
      <c r="J28"/>
      <c r="K28"/>
    </row>
    <row r="29" spans="1:11" ht="22.5" customHeight="1" thickBot="1">
      <c r="A29" s="182"/>
      <c r="B29" s="142"/>
      <c r="C29" s="18" t="s">
        <v>2</v>
      </c>
      <c r="D29" s="15" t="str">
        <f>($I$12*$K$12)+5+$M$12+IF($I$15="光輝",3,0)+$I$7+($I$14*$K$14)&amp;"+"&amp;$I$13&amp;"d"&amp;$K$13</f>
        <v>57+3d10</v>
      </c>
      <c r="E29" s="15" t="str">
        <f>($I$12*$K$12)+5+$M$12+IF($I$15="光輝",3,0)+$I$7+($I$14*$K$14)&amp;"+"&amp;$I$13&amp;"d"&amp;$K$13</f>
        <v>57+3d10</v>
      </c>
      <c r="F29" s="15" t="str">
        <f>($I$12*$K$12)+5+$M$12+IF($I$15="光輝",3,0)+$I$7+($I$14*$K$14)&amp;"+"&amp;$I$13&amp;"d"&amp;$K$13&amp;IF($I$5=1," ★","")</f>
        <v>57+3d10 ★</v>
      </c>
      <c r="G29" s="68" t="str">
        <f>($I$12*$K$12)+5+$M$12+IF($I$15="光輝",3,0)+$I$7+($I$14*$K$14)&amp;"+"&amp;$I$13&amp;"d"&amp;$K$13&amp;IF($I$5=1," ★","")</f>
        <v>57+3d10 ★</v>
      </c>
      <c r="I29"/>
      <c r="J29"/>
      <c r="K29"/>
    </row>
    <row r="30" spans="1:11" ht="21.75" customHeight="1">
      <c r="A30" s="183" t="s">
        <v>77</v>
      </c>
      <c r="B30" s="183"/>
      <c r="C30" s="183"/>
      <c r="D30" s="183"/>
      <c r="E30" s="183"/>
      <c r="F30" s="183"/>
      <c r="G30" s="183"/>
      <c r="I30"/>
      <c r="J30"/>
      <c r="K30"/>
    </row>
    <row r="31" spans="1:11" ht="18.75">
      <c r="A31" s="171" t="s">
        <v>235</v>
      </c>
      <c r="B31" s="171"/>
      <c r="C31" s="171"/>
      <c r="D31" s="171"/>
      <c r="E31" s="171"/>
      <c r="F31" s="171"/>
      <c r="G31" s="171"/>
      <c r="I31"/>
      <c r="J31"/>
      <c r="K31"/>
    </row>
    <row r="32" spans="1:11" ht="6.75" customHeight="1">
      <c r="A32" s="122"/>
      <c r="B32" s="122"/>
      <c r="C32" s="122"/>
      <c r="D32" s="122"/>
      <c r="E32" s="122"/>
      <c r="F32" s="122"/>
      <c r="G32" s="122"/>
      <c r="I32"/>
      <c r="J32"/>
      <c r="K32"/>
    </row>
    <row r="33" spans="1:7" ht="13.5">
      <c r="A33" s="172" t="s">
        <v>238</v>
      </c>
      <c r="B33" s="172"/>
      <c r="C33" s="172"/>
      <c r="D33" s="172"/>
      <c r="E33" s="172"/>
      <c r="F33" s="172"/>
      <c r="G33" s="172"/>
    </row>
    <row r="34" spans="1:7" ht="13.5">
      <c r="A34" s="171" t="s">
        <v>239</v>
      </c>
      <c r="B34" s="171"/>
      <c r="C34" s="171"/>
      <c r="D34" s="171"/>
      <c r="E34" s="171"/>
      <c r="F34" s="171"/>
      <c r="G34" s="171"/>
    </row>
    <row r="35" spans="1:7" ht="13.5">
      <c r="A35" s="171" t="s">
        <v>237</v>
      </c>
      <c r="B35" s="171"/>
      <c r="C35" s="171"/>
      <c r="D35" s="171"/>
      <c r="E35" s="171"/>
      <c r="F35" s="171"/>
      <c r="G35" s="171"/>
    </row>
    <row r="36" spans="1:11" ht="13.5">
      <c r="A36" s="176" t="s">
        <v>78</v>
      </c>
      <c r="B36" s="176"/>
      <c r="C36" s="176"/>
      <c r="D36" s="176"/>
      <c r="E36" s="176"/>
      <c r="F36" s="176"/>
      <c r="G36" s="176"/>
      <c r="I36"/>
      <c r="J36"/>
      <c r="K36"/>
    </row>
    <row r="37" spans="1:7" ht="17.25">
      <c r="A37" s="171" t="s">
        <v>84</v>
      </c>
      <c r="B37" s="171"/>
      <c r="C37" s="171"/>
      <c r="D37" s="171"/>
      <c r="E37" s="171"/>
      <c r="F37" s="171"/>
      <c r="G37" s="171"/>
    </row>
    <row r="38" spans="1:7" ht="13.5">
      <c r="A38" s="144" t="s">
        <v>65</v>
      </c>
      <c r="B38" s="144"/>
      <c r="C38" s="144"/>
      <c r="D38" s="144"/>
      <c r="E38" s="144"/>
      <c r="F38" s="144"/>
      <c r="G38" s="144"/>
    </row>
    <row r="39" spans="1:7" ht="6.75" customHeight="1">
      <c r="A39" s="120"/>
      <c r="B39" s="120"/>
      <c r="C39" s="120"/>
      <c r="D39" s="120"/>
      <c r="E39" s="120"/>
      <c r="F39" s="120"/>
      <c r="G39" s="120"/>
    </row>
    <row r="40" spans="1:11" ht="13.5">
      <c r="A40" s="172" t="s">
        <v>196</v>
      </c>
      <c r="B40" s="172"/>
      <c r="C40" s="172"/>
      <c r="D40" s="172"/>
      <c r="E40" s="172"/>
      <c r="F40" s="172"/>
      <c r="G40" s="172"/>
      <c r="I40"/>
      <c r="J40"/>
      <c r="K40"/>
    </row>
    <row r="41" spans="1:7" ht="17.25">
      <c r="A41" s="171" t="s">
        <v>197</v>
      </c>
      <c r="B41" s="171"/>
      <c r="C41" s="171"/>
      <c r="D41" s="171"/>
      <c r="E41" s="171"/>
      <c r="F41" s="171"/>
      <c r="G41" s="171"/>
    </row>
    <row r="42" spans="1:7" ht="17.25">
      <c r="A42" s="144" t="s">
        <v>198</v>
      </c>
      <c r="B42" s="144"/>
      <c r="C42" s="144"/>
      <c r="D42" s="144"/>
      <c r="E42" s="144"/>
      <c r="F42" s="144"/>
      <c r="G42" s="144"/>
    </row>
    <row r="43" spans="1:11" s="61" customFormat="1" ht="7.5" customHeight="1">
      <c r="A43" s="149"/>
      <c r="B43" s="149"/>
      <c r="C43" s="149"/>
      <c r="D43" s="149"/>
      <c r="E43" s="149"/>
      <c r="F43" s="149"/>
      <c r="G43" s="149"/>
      <c r="H43" s="62"/>
      <c r="I43" s="62"/>
      <c r="J43" s="62"/>
      <c r="K43" s="62"/>
    </row>
    <row r="44" spans="1:7" ht="13.5">
      <c r="A44" s="177" t="s">
        <v>83</v>
      </c>
      <c r="B44" s="178"/>
      <c r="C44" s="178"/>
      <c r="D44" s="178"/>
      <c r="E44" s="178"/>
      <c r="F44" s="178"/>
      <c r="G44" s="179"/>
    </row>
    <row r="45" spans="1:7" ht="6" customHeight="1">
      <c r="A45" s="243"/>
      <c r="B45" s="172"/>
      <c r="C45" s="172"/>
      <c r="D45" s="172"/>
      <c r="E45" s="172"/>
      <c r="F45" s="172"/>
      <c r="G45" s="244"/>
    </row>
    <row r="46" spans="1:7" ht="13.5">
      <c r="A46" s="245" t="s">
        <v>275</v>
      </c>
      <c r="B46" s="246"/>
      <c r="C46" s="246"/>
      <c r="D46" s="246"/>
      <c r="E46" s="246"/>
      <c r="F46" s="246"/>
      <c r="G46" s="247"/>
    </row>
    <row r="47" spans="1:7" ht="6" customHeight="1">
      <c r="A47" s="243"/>
      <c r="B47" s="172"/>
      <c r="C47" s="172"/>
      <c r="D47" s="172"/>
      <c r="E47" s="172"/>
      <c r="F47" s="172"/>
      <c r="G47" s="244"/>
    </row>
    <row r="48" spans="1:7" ht="13.5">
      <c r="A48" s="146" t="s">
        <v>277</v>
      </c>
      <c r="B48" s="144"/>
      <c r="C48" s="144"/>
      <c r="D48" s="144"/>
      <c r="E48" s="144"/>
      <c r="F48" s="144"/>
      <c r="G48" s="145"/>
    </row>
    <row r="49" spans="1:7" ht="13.5">
      <c r="A49" s="146" t="s">
        <v>273</v>
      </c>
      <c r="B49" s="144"/>
      <c r="C49" s="144"/>
      <c r="D49" s="144"/>
      <c r="E49" s="144"/>
      <c r="F49" s="144"/>
      <c r="G49" s="145"/>
    </row>
    <row r="50" spans="1:7" ht="13.5">
      <c r="A50" s="146" t="s">
        <v>276</v>
      </c>
      <c r="B50" s="144"/>
      <c r="C50" s="144"/>
      <c r="D50" s="144"/>
      <c r="E50" s="144"/>
      <c r="F50" s="144"/>
      <c r="G50" s="145"/>
    </row>
    <row r="51" spans="1:7" ht="6.75" customHeight="1">
      <c r="A51" s="148"/>
      <c r="B51" s="149"/>
      <c r="C51" s="149"/>
      <c r="D51" s="149"/>
      <c r="E51" s="149"/>
      <c r="F51" s="149"/>
      <c r="G51" s="150"/>
    </row>
    <row r="52" spans="1:7" ht="21">
      <c r="A52" s="46" t="s">
        <v>43</v>
      </c>
      <c r="B52" s="115">
        <f>$B$1</f>
        <v>15</v>
      </c>
      <c r="C52" s="47" t="s">
        <v>60</v>
      </c>
      <c r="D52" s="48" t="str">
        <f>$E$1</f>
        <v>一日毎</v>
      </c>
      <c r="E52" s="225" t="str">
        <f>$B$2</f>
        <v>ウィスパーズ・オヴ・ザ・ヴォイド</v>
      </c>
      <c r="F52" s="226"/>
      <c r="G52" s="227"/>
    </row>
  </sheetData>
  <sheetProtection/>
  <mergeCells count="44">
    <mergeCell ref="A51:G51"/>
    <mergeCell ref="A48:G48"/>
    <mergeCell ref="A49:G49"/>
    <mergeCell ref="E52:G52"/>
    <mergeCell ref="A42:G42"/>
    <mergeCell ref="A35:G35"/>
    <mergeCell ref="A36:G36"/>
    <mergeCell ref="A37:G37"/>
    <mergeCell ref="A38:G38"/>
    <mergeCell ref="A40:G40"/>
    <mergeCell ref="A43:G43"/>
    <mergeCell ref="A44:G44"/>
    <mergeCell ref="A24:A29"/>
    <mergeCell ref="B25:B27"/>
    <mergeCell ref="B28:B29"/>
    <mergeCell ref="A30:G30"/>
    <mergeCell ref="A31:G31"/>
    <mergeCell ref="A33:G33"/>
    <mergeCell ref="A41:G41"/>
    <mergeCell ref="A34:G34"/>
    <mergeCell ref="B13:G13"/>
    <mergeCell ref="B14:G14"/>
    <mergeCell ref="B15:G15"/>
    <mergeCell ref="A17:C17"/>
    <mergeCell ref="A18:A23"/>
    <mergeCell ref="B19:B21"/>
    <mergeCell ref="B22:B23"/>
    <mergeCell ref="B7:G7"/>
    <mergeCell ref="B8:G8"/>
    <mergeCell ref="B9:G9"/>
    <mergeCell ref="B10:G10"/>
    <mergeCell ref="B11:G11"/>
    <mergeCell ref="H11:H12"/>
    <mergeCell ref="B12:G12"/>
    <mergeCell ref="A45:G45"/>
    <mergeCell ref="A46:G46"/>
    <mergeCell ref="A47:G47"/>
    <mergeCell ref="A50:G50"/>
    <mergeCell ref="B1:C1"/>
    <mergeCell ref="F1:G1"/>
    <mergeCell ref="B2:G2"/>
    <mergeCell ref="B4:G4"/>
    <mergeCell ref="B5:G5"/>
    <mergeCell ref="B6:D6"/>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2.xml><?xml version="1.0" encoding="utf-8"?>
<worksheet xmlns="http://schemas.openxmlformats.org/spreadsheetml/2006/main" xmlns:r="http://schemas.openxmlformats.org/officeDocument/2006/relationships">
  <sheetPr>
    <tabColor rgb="FF008000"/>
  </sheetPr>
  <dimension ref="A1:M49"/>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29" t="s">
        <v>43</v>
      </c>
      <c r="B1" s="159">
        <v>1</v>
      </c>
      <c r="C1" s="160"/>
      <c r="D1" s="31" t="s">
        <v>60</v>
      </c>
      <c r="E1" s="30" t="s">
        <v>61</v>
      </c>
      <c r="F1" s="161"/>
      <c r="G1" s="162"/>
      <c r="H1" s="34" t="s">
        <v>90</v>
      </c>
    </row>
    <row r="2" spans="1:8" ht="24.75" customHeight="1">
      <c r="A2" s="31" t="s">
        <v>0</v>
      </c>
      <c r="B2" s="147" t="s">
        <v>8</v>
      </c>
      <c r="C2" s="147"/>
      <c r="D2" s="147"/>
      <c r="E2" s="147"/>
      <c r="F2" s="147"/>
      <c r="G2" s="147"/>
      <c r="H2" s="34" t="s">
        <v>92</v>
      </c>
    </row>
    <row r="3" spans="1:9" ht="19.5" customHeight="1">
      <c r="A3" s="32" t="s">
        <v>82</v>
      </c>
      <c r="B3" s="1"/>
      <c r="C3" s="1"/>
      <c r="D3" s="1"/>
      <c r="I3" s="34" t="s">
        <v>79</v>
      </c>
    </row>
    <row r="4" spans="1:9" ht="13.5">
      <c r="A4" s="36" t="s">
        <v>80</v>
      </c>
      <c r="B4" s="153" t="s">
        <v>12</v>
      </c>
      <c r="C4" s="154"/>
      <c r="D4" s="154"/>
      <c r="E4" s="154"/>
      <c r="F4" s="154"/>
      <c r="G4" s="155"/>
      <c r="H4" s="50" t="s">
        <v>75</v>
      </c>
      <c r="I4" s="51">
        <v>0</v>
      </c>
    </row>
    <row r="5" spans="1:9" ht="13.5">
      <c r="A5" s="37" t="s">
        <v>57</v>
      </c>
      <c r="B5" s="153" t="s">
        <v>56</v>
      </c>
      <c r="C5" s="154"/>
      <c r="D5" s="154"/>
      <c r="E5" s="154"/>
      <c r="F5" s="154"/>
      <c r="G5" s="155"/>
      <c r="H5" s="50" t="s">
        <v>76</v>
      </c>
      <c r="I5" s="51">
        <v>1</v>
      </c>
    </row>
    <row r="6" spans="1:9" ht="13.5">
      <c r="A6" s="37" t="s">
        <v>11</v>
      </c>
      <c r="B6" s="153" t="s">
        <v>9</v>
      </c>
      <c r="C6" s="154"/>
      <c r="D6" s="155"/>
      <c r="E6" s="22" t="s">
        <v>96</v>
      </c>
      <c r="F6" s="6" t="str">
        <f>$I$8</f>
        <v>遠隔</v>
      </c>
      <c r="G6" s="55">
        <f>$J$8</f>
        <v>10</v>
      </c>
      <c r="H6" s="54" t="s">
        <v>139</v>
      </c>
      <c r="I6" s="53">
        <v>1</v>
      </c>
    </row>
    <row r="7" spans="1:9" ht="13.5">
      <c r="A7" s="38" t="s">
        <v>10</v>
      </c>
      <c r="B7" s="153" t="s">
        <v>13</v>
      </c>
      <c r="C7" s="154"/>
      <c r="D7" s="154"/>
      <c r="E7" s="154"/>
      <c r="F7" s="154"/>
      <c r="G7" s="155"/>
      <c r="H7" s="54" t="s">
        <v>140</v>
      </c>
      <c r="I7" s="53">
        <v>0</v>
      </c>
    </row>
    <row r="8" spans="1:10" ht="13.5">
      <c r="A8" s="38" t="s">
        <v>14</v>
      </c>
      <c r="B8" s="153" t="s">
        <v>15</v>
      </c>
      <c r="C8" s="154"/>
      <c r="D8" s="154"/>
      <c r="E8" s="154"/>
      <c r="F8" s="154"/>
      <c r="G8" s="155"/>
      <c r="H8" s="50" t="s">
        <v>70</v>
      </c>
      <c r="I8" s="51" t="s">
        <v>71</v>
      </c>
      <c r="J8" s="51">
        <v>10</v>
      </c>
    </row>
    <row r="9" spans="1:11" ht="13.5">
      <c r="A9" s="39" t="s">
        <v>16</v>
      </c>
      <c r="B9" s="153" t="s">
        <v>17</v>
      </c>
      <c r="C9" s="154"/>
      <c r="D9" s="154"/>
      <c r="E9" s="154"/>
      <c r="F9" s="154"/>
      <c r="G9" s="155"/>
      <c r="H9" s="52"/>
      <c r="I9" s="34" t="s">
        <v>91</v>
      </c>
      <c r="K9" s="34" t="s">
        <v>166</v>
      </c>
    </row>
    <row r="10" spans="1:13" ht="13.5">
      <c r="A10" s="40" t="s">
        <v>18</v>
      </c>
      <c r="B10" s="156" t="s">
        <v>62</v>
      </c>
      <c r="C10" s="157"/>
      <c r="D10" s="157"/>
      <c r="E10" s="157"/>
      <c r="F10" s="157"/>
      <c r="G10" s="158"/>
      <c r="H10" s="50" t="s">
        <v>86</v>
      </c>
      <c r="I10" s="51" t="s">
        <v>27</v>
      </c>
      <c r="J10" s="51" t="s">
        <v>30</v>
      </c>
      <c r="K10" s="69">
        <f>IF($I$10="知力",'基本'!$K$36,'基本'!$K$18)</f>
        <v>6</v>
      </c>
      <c r="L10" s="50" t="s">
        <v>88</v>
      </c>
      <c r="M10" s="49">
        <f>IF($I$10="知力",'基本'!$G$34,'基本'!$G$16)</f>
        <v>18</v>
      </c>
    </row>
    <row r="11" spans="1:12" ht="13.5">
      <c r="A11" s="39"/>
      <c r="B11" s="146" t="s">
        <v>63</v>
      </c>
      <c r="C11" s="144"/>
      <c r="D11" s="144"/>
      <c r="E11" s="144"/>
      <c r="F11" s="144"/>
      <c r="G11" s="145"/>
      <c r="H11" s="151" t="s">
        <v>87</v>
      </c>
      <c r="I11" s="51" t="s">
        <v>27</v>
      </c>
      <c r="K11" s="69">
        <f>IF($I$11="知力",'基本'!$K$36,'基本'!$K$18)</f>
        <v>6</v>
      </c>
      <c r="L11" s="1"/>
    </row>
    <row r="12" spans="1:13" ht="13.5">
      <c r="A12" s="39"/>
      <c r="B12" s="146" t="s">
        <v>64</v>
      </c>
      <c r="C12" s="144"/>
      <c r="D12" s="144"/>
      <c r="E12" s="144"/>
      <c r="F12" s="144"/>
      <c r="G12" s="145"/>
      <c r="H12" s="152"/>
      <c r="I12" s="51">
        <v>1</v>
      </c>
      <c r="J12" s="50" t="s">
        <v>72</v>
      </c>
      <c r="K12" s="51">
        <v>10</v>
      </c>
      <c r="L12" s="50" t="s">
        <v>89</v>
      </c>
      <c r="M12" s="49">
        <f>IF($I$11="知力",'基本'!$H$36,'基本'!$H$18)</f>
        <v>12</v>
      </c>
    </row>
    <row r="13" spans="1:11" ht="13.5">
      <c r="A13" s="39"/>
      <c r="B13" s="143" t="s">
        <v>150</v>
      </c>
      <c r="C13" s="144"/>
      <c r="D13" s="144"/>
      <c r="E13" s="144"/>
      <c r="F13" s="144"/>
      <c r="G13" s="145"/>
      <c r="H13" s="50" t="s">
        <v>85</v>
      </c>
      <c r="I13" s="49">
        <f>IF($I$11="知力",'基本'!$L$38,'基本'!$L$20)</f>
        <v>3</v>
      </c>
      <c r="J13" s="50" t="s">
        <v>72</v>
      </c>
      <c r="K13" s="49">
        <f>IF($I$11="知力",'基本'!$N$38,'基本'!$N$20)</f>
        <v>10</v>
      </c>
    </row>
    <row r="14" spans="1:11" ht="13.5">
      <c r="A14" s="39"/>
      <c r="B14" s="146" t="s">
        <v>19</v>
      </c>
      <c r="C14" s="144"/>
      <c r="D14" s="144"/>
      <c r="E14" s="144"/>
      <c r="F14" s="144"/>
      <c r="G14" s="145"/>
      <c r="H14" s="50" t="s">
        <v>93</v>
      </c>
      <c r="I14" s="49">
        <f>'基本'!$B$21</f>
        <v>2</v>
      </c>
      <c r="J14" s="50" t="s">
        <v>72</v>
      </c>
      <c r="K14" s="49">
        <f>'基本'!$D$21</f>
        <v>8</v>
      </c>
    </row>
    <row r="15" spans="1:9" ht="13.5">
      <c r="A15" s="41"/>
      <c r="B15" s="148"/>
      <c r="C15" s="149"/>
      <c r="D15" s="149"/>
      <c r="E15" s="149"/>
      <c r="F15" s="149"/>
      <c r="G15" s="150"/>
      <c r="H15" s="54" t="s">
        <v>141</v>
      </c>
      <c r="I15" s="53" t="s">
        <v>220</v>
      </c>
    </row>
    <row r="16" spans="1:5" ht="14.25" thickBot="1">
      <c r="A16" s="33" t="s">
        <v>81</v>
      </c>
      <c r="E16" s="4"/>
    </row>
    <row r="17" spans="1:7" ht="18.75" customHeight="1" thickBot="1">
      <c r="A17" s="163" t="str">
        <f>$B$2</f>
        <v>エルドリッチ・ブラスト</v>
      </c>
      <c r="B17" s="164"/>
      <c r="C17" s="165"/>
      <c r="D17" s="7" t="s">
        <v>4</v>
      </c>
      <c r="E17" s="70" t="s">
        <v>3</v>
      </c>
      <c r="F17" s="71" t="s">
        <v>58</v>
      </c>
      <c r="G17" s="17" t="s">
        <v>59</v>
      </c>
    </row>
    <row r="18" spans="1:7" ht="38.25" customHeight="1">
      <c r="A18" s="166" t="s">
        <v>1</v>
      </c>
      <c r="B18" s="8" t="s">
        <v>68</v>
      </c>
      <c r="C18" s="35" t="str">
        <f>$J$10</f>
        <v>反応</v>
      </c>
      <c r="D18" s="9" t="str">
        <f>"呪 + "&amp;$M$10+$I$6&amp;"+1d20"&amp;IF($I$4=1," ※","")</f>
        <v>呪 + 19+1d20</v>
      </c>
      <c r="E18" s="9" t="str">
        <f>"呪 + "&amp;$M$10+2+$I$6&amp;"+1d20"&amp;IF($I$4=1," ※","")</f>
        <v>呪 + 21+1d20</v>
      </c>
      <c r="F18" s="9" t="str">
        <f>"呪 + "&amp;$M$10+$I$6+3&amp;"+1d20"&amp;" ※"</f>
        <v>呪 + 22+1d20 ※</v>
      </c>
      <c r="G18" s="64" t="str">
        <f>"呪 + "&amp;$M$10+$I$6+5&amp;"+1d20"&amp;" ※"</f>
        <v>呪 + 24+1d20 ※</v>
      </c>
    </row>
    <row r="19" spans="1:7" ht="24.75" customHeight="1">
      <c r="A19" s="167"/>
      <c r="B19" s="169" t="s">
        <v>67</v>
      </c>
      <c r="C19" s="10" t="str">
        <f>IF($I$15=0,"",$I$15)</f>
        <v>通常</v>
      </c>
      <c r="D19" s="11" t="str">
        <f>$M$12+IF($I15="光輝",3,0)+$I$7&amp;"+"&amp;$I$12&amp;"d"&amp;$K$12</f>
        <v>12+1d10</v>
      </c>
      <c r="E19" s="11" t="str">
        <f>$M$12+IF($I15="光輝",3,0)+$I$7&amp;"+"&amp;$I$12&amp;"d"&amp;$K$12</f>
        <v>12+1d10</v>
      </c>
      <c r="F19" s="11" t="str">
        <f>$M$12+IF($I15="光輝",3,0)+$I$7&amp;"+"&amp;$I$12&amp;"d"&amp;$K$12&amp;IF($I$5=1," ★","")</f>
        <v>12+1d10 ★</v>
      </c>
      <c r="G19" s="65" t="str">
        <f>$M$12+IF($I15="光輝",3,0)+$I$7&amp;"+"&amp;$I$12&amp;"d"&amp;$K$12&amp;IF($I$5=1," ★","")</f>
        <v>12+1d10 ★</v>
      </c>
    </row>
    <row r="20" spans="1:11" ht="24.75" customHeight="1">
      <c r="A20" s="167"/>
      <c r="B20" s="170"/>
      <c r="C20" s="19" t="s">
        <v>2</v>
      </c>
      <c r="D20" s="16" t="str">
        <f>$M$12+IF($I15="光輝",3,0)+$I$7&amp;"+"&amp;$I$12&amp;"d"&amp;$K$12&amp;"+"&amp;$I$14&amp;"d"&amp;$K$14</f>
        <v>12+1d10+2d8</v>
      </c>
      <c r="E20" s="16" t="str">
        <f>$M$12+IF($I15="光輝",3,0)+$I$7&amp;"+"&amp;$I$12&amp;"d"&amp;$K$12&amp;"+"&amp;$I$14&amp;"d"&amp;$K$14</f>
        <v>12+1d10+2d8</v>
      </c>
      <c r="F20" s="16" t="str">
        <f>$M$12+IF($I15="光輝",3,0)+$I$7&amp;"+"&amp;$I$12&amp;"d"&amp;$K$12&amp;"+"&amp;$I$14&amp;"d"&amp;$K$14&amp;IF($I$5=1," ★","")</f>
        <v>12+1d10+2d8 ★</v>
      </c>
      <c r="G20" s="66" t="str">
        <f>$M$12+IF($I15="光輝",3,0)+$I$7&amp;"+"&amp;$I$12&amp;"d"&amp;$K$12&amp;"+"&amp;$I$14&amp;"d"&amp;$K$14&amp;IF($I$5=1," ★","")</f>
        <v>12+1d10+2d8 ★</v>
      </c>
      <c r="I20"/>
      <c r="J20"/>
      <c r="K20"/>
    </row>
    <row r="21" spans="1:11" ht="24.75" customHeight="1">
      <c r="A21" s="167"/>
      <c r="B21" s="141" t="s">
        <v>66</v>
      </c>
      <c r="C21" s="13" t="str">
        <f>IF($I$15=0,"",$I$15)</f>
        <v>通常</v>
      </c>
      <c r="D21" s="14" t="str">
        <f>($I$12*$K$12)+$M$12+IF($I15="光輝",3,0)+$I$7&amp;"+"&amp;$I$13&amp;"d"&amp;$K$13</f>
        <v>22+3d10</v>
      </c>
      <c r="E21" s="14" t="str">
        <f>($I$12*$K$12)+$M$12+IF($I15="光輝",3,0)+$I$7&amp;"+"&amp;$I$13&amp;"d"&amp;$K$13</f>
        <v>22+3d10</v>
      </c>
      <c r="F21" s="14" t="str">
        <f>($I$12*$K$12)+$M$12+IF($I15="光輝",3,0)+$I$7&amp;"+"&amp;$I$13&amp;"d"&amp;$K$13&amp;IF($I$5=1," ★","")</f>
        <v>22+3d10 ★</v>
      </c>
      <c r="G21" s="67" t="str">
        <f>($I$12*$K$12)+$M$12+IF($I15="光輝",3,0)+$I$7&amp;"+"&amp;$I$13&amp;"d"&amp;$K$13&amp;IF($I$5=1," ★","")</f>
        <v>22+3d10 ★</v>
      </c>
      <c r="I21"/>
      <c r="J21"/>
      <c r="K21"/>
    </row>
    <row r="22" spans="1:11" ht="24.75" customHeight="1" thickBot="1">
      <c r="A22" s="168"/>
      <c r="B22" s="142"/>
      <c r="C22" s="18" t="s">
        <v>2</v>
      </c>
      <c r="D22" s="15" t="str">
        <f>($I$12*$K$12)+$M$12+IF($I15="光輝",3,0)+$I$7+($I$14*$K$14)&amp;"+"&amp;$I$13&amp;"d"&amp;$K$13</f>
        <v>38+3d10</v>
      </c>
      <c r="E22" s="15" t="str">
        <f>($I$12*$K$12)+$M$12+IF($I15="光輝",3,0)+$I$7+($I$14*$K$14)&amp;"+"&amp;$I$13&amp;"d"&amp;$K$13</f>
        <v>38+3d10</v>
      </c>
      <c r="F22" s="15" t="str">
        <f>($I$12*$K$12)+$M$12+IF($I15="光輝",3,0)+$I$7+($I$14*$K$14)&amp;"+"&amp;$I$13&amp;"d"&amp;$K$13&amp;IF($I$5=1," ★","")</f>
        <v>38+3d10 ★</v>
      </c>
      <c r="G22" s="68" t="str">
        <f>($I$12*$K$12)+$M$12+IF($I15="光輝",3,0)+$I$7+($I$14*$K$14)&amp;"+"&amp;$I$13&amp;"d"&amp;$K$13&amp;IF($I$5=1," ★","")</f>
        <v>38+3d10 ★</v>
      </c>
      <c r="I22"/>
      <c r="J22"/>
      <c r="K22"/>
    </row>
    <row r="23" spans="1:11" ht="38.25" customHeight="1">
      <c r="A23" s="180" t="s">
        <v>5</v>
      </c>
      <c r="B23" s="8" t="s">
        <v>68</v>
      </c>
      <c r="C23" s="35" t="str">
        <f>$J$10</f>
        <v>反応</v>
      </c>
      <c r="D23" s="9" t="str">
        <f>"呪 + "&amp;$M$10+$I$6+1&amp;"+1d20"&amp;IF($I$4=1," ※","")</f>
        <v>呪 + 20+1d20</v>
      </c>
      <c r="E23" s="9" t="str">
        <f>"呪 + "&amp;$M$10+$I$6+3&amp;"+1d20"&amp;IF($I$4=1," ※","")</f>
        <v>呪 + 22+1d20</v>
      </c>
      <c r="F23" s="9" t="str">
        <f>"呪 + "&amp;$M$10+$I$6+4&amp;"+1d20"&amp;" ※"</f>
        <v>呪 + 23+1d20 ※</v>
      </c>
      <c r="G23" s="64" t="str">
        <f>"呪 + "&amp;$M$10+$I$6+5+1&amp;"+1d20"&amp;" ※"</f>
        <v>呪 + 25+1d20 ※</v>
      </c>
      <c r="I23"/>
      <c r="J23"/>
      <c r="K23"/>
    </row>
    <row r="24" spans="1:11" ht="24" customHeight="1">
      <c r="A24" s="181"/>
      <c r="B24" s="169" t="s">
        <v>67</v>
      </c>
      <c r="C24" s="12" t="str">
        <f>IF($I$15=0,"",$I$15)</f>
        <v>通常</v>
      </c>
      <c r="D24" s="11" t="str">
        <f>$M$12+IF($I15="光輝",3,0)+$I$7+5&amp;"+"&amp;$I$12&amp;$J$12&amp;$K$12</f>
        <v>17+1d10</v>
      </c>
      <c r="E24" s="11" t="str">
        <f>$M$12+IF($I15="光輝",3,0)+$I$7+5&amp;"+"&amp;$I$12&amp;$J$12&amp;$K$12</f>
        <v>17+1d10</v>
      </c>
      <c r="F24" s="11" t="str">
        <f>$M$12+IF($I15="光輝",3,0)+$I$7+5&amp;"+"&amp;$I$12&amp;$J$12&amp;$K$12&amp;IF($I$5=1," ★","")</f>
        <v>17+1d10 ★</v>
      </c>
      <c r="G24" s="65" t="str">
        <f>$M$12+IF($I15="光輝",3,0)+$I$7+5&amp;"+"&amp;$I$12&amp;$J$12&amp;$K$12&amp;IF($I$5=1," ★","")</f>
        <v>17+1d10 ★</v>
      </c>
      <c r="I24"/>
      <c r="J24"/>
      <c r="K24"/>
    </row>
    <row r="25" spans="1:11" ht="24" customHeight="1">
      <c r="A25" s="181"/>
      <c r="B25" s="170"/>
      <c r="C25" s="19" t="s">
        <v>2</v>
      </c>
      <c r="D25" s="16" t="str">
        <f>$M$12+IF($I15="光輝",3,0)+$I$7+5&amp;"+"&amp;$I$12&amp;"d"&amp;$K$12&amp;"+"&amp;$I$14&amp;"d"&amp;$K$14</f>
        <v>17+1d10+2d8</v>
      </c>
      <c r="E25" s="16" t="str">
        <f>$M$12+IF($I15="光輝",3,0)+$I$7+5&amp;"+"&amp;$I$12&amp;"d"&amp;$K$12&amp;"+"&amp;$I$14&amp;"d"&amp;$K$14</f>
        <v>17+1d10+2d8</v>
      </c>
      <c r="F25" s="16" t="str">
        <f>$M$12+IF($I15="光輝",3,0)+$I$7+5&amp;"+"&amp;$I$12&amp;"d"&amp;$K$12&amp;"+"&amp;$I$14&amp;"d"&amp;$K$14&amp;IF($I$5=1," ★","")</f>
        <v>17+1d10+2d8 ★</v>
      </c>
      <c r="G25" s="66" t="str">
        <f>$M$12+IF($I15="光輝",3,0)+$I$7+5&amp;"+"&amp;$I$12&amp;"d"&amp;$K$12&amp;"+"&amp;$I$14&amp;"d"&amp;$K$14&amp;IF($I$5=1," ★","")</f>
        <v>17+1d10+2d8 ★</v>
      </c>
      <c r="I25"/>
      <c r="J25"/>
      <c r="K25"/>
    </row>
    <row r="26" spans="1:11" ht="24" customHeight="1">
      <c r="A26" s="181"/>
      <c r="B26" s="141" t="s">
        <v>66</v>
      </c>
      <c r="C26" s="13" t="str">
        <f>IF($I$15=0,"",$I$15)</f>
        <v>通常</v>
      </c>
      <c r="D26" s="14" t="str">
        <f>($I$12*$K$12)+5+$M$12+IF($I15="光輝",3,0)+$I$7&amp;"+"&amp;$I$13&amp;"d"&amp;$K$13</f>
        <v>27+3d10</v>
      </c>
      <c r="E26" s="14" t="str">
        <f>($I$12*$K$12)+5+$M$12+IF($I15="光輝",3,0)+$I$7&amp;"+"&amp;$I$13&amp;"d"&amp;$K$13</f>
        <v>27+3d10</v>
      </c>
      <c r="F26" s="14" t="str">
        <f>($I$12*$K$12)+5+$M$12+IF($I15="光輝",3,0)+$I$7&amp;"+"&amp;$I$13&amp;"d"&amp;$K$13&amp;IF($I$5=1," ★","")</f>
        <v>27+3d10 ★</v>
      </c>
      <c r="G26" s="67" t="str">
        <f>($I$12*$K$12)+5+$M$12+IF($I15="光輝",3,0)+$I$7&amp;"+"&amp;$I$13&amp;"d"&amp;$K$13&amp;IF($I$5=1," ★","")</f>
        <v>27+3d10 ★</v>
      </c>
      <c r="I26"/>
      <c r="J26"/>
      <c r="K26"/>
    </row>
    <row r="27" spans="1:11" ht="24" customHeight="1" thickBot="1">
      <c r="A27" s="182"/>
      <c r="B27" s="142"/>
      <c r="C27" s="18" t="s">
        <v>2</v>
      </c>
      <c r="D27" s="15" t="str">
        <f>($I$12*$K$12)+5+$M$12+IF($I15="光輝",3,0)+$I$7+($I$14*$K$14)&amp;"+"&amp;$I$13&amp;"d"&amp;$K$13</f>
        <v>43+3d10</v>
      </c>
      <c r="E27" s="15" t="str">
        <f>($I$12*$K$12)+5+$M$12+IF($I15="光輝",3,0)+$I$7+($I$14*$K$14)&amp;"+"&amp;$I$13&amp;"d"&amp;$K$13</f>
        <v>43+3d10</v>
      </c>
      <c r="F27" s="15" t="str">
        <f>($I$12*$K$12)+5+$M$12+IF($I15="光輝",3,0)+$I$7+($I$14*$K$14)&amp;"+"&amp;$I$13&amp;"d"&amp;$K$13&amp;IF($I$5=1," ★","")</f>
        <v>43+3d10 ★</v>
      </c>
      <c r="G27" s="68" t="str">
        <f>($I$12*$K$12)+5+$M$12+IF($I15="光輝",3,0)+$I$7+($I$14*$K$14)&amp;"+"&amp;$I$13&amp;"d"&amp;$K$13&amp;IF($I$5=1," ★","")</f>
        <v>43+3d10 ★</v>
      </c>
      <c r="I27"/>
      <c r="J27"/>
      <c r="K27"/>
    </row>
    <row r="28" spans="1:11" ht="24"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7" ht="13.5">
      <c r="A41" s="116"/>
      <c r="B41" s="116"/>
      <c r="C41" s="116"/>
      <c r="D41" s="116"/>
      <c r="E41" s="116"/>
      <c r="F41" s="116"/>
      <c r="G41" s="116"/>
    </row>
    <row r="42" spans="1:7" ht="13.5">
      <c r="A42" s="177" t="s">
        <v>83</v>
      </c>
      <c r="B42" s="178"/>
      <c r="C42" s="178"/>
      <c r="D42" s="178"/>
      <c r="E42" s="178"/>
      <c r="F42" s="178"/>
      <c r="G42" s="179"/>
    </row>
    <row r="43" spans="1:7" ht="13.5">
      <c r="A43" s="146"/>
      <c r="B43" s="144"/>
      <c r="C43" s="144"/>
      <c r="D43" s="144"/>
      <c r="E43" s="144"/>
      <c r="F43" s="144"/>
      <c r="G43" s="145"/>
    </row>
    <row r="44" spans="1:7" ht="13.5">
      <c r="A44" s="146" t="s">
        <v>245</v>
      </c>
      <c r="B44" s="144"/>
      <c r="C44" s="144"/>
      <c r="D44" s="144"/>
      <c r="E44" s="144"/>
      <c r="F44" s="144"/>
      <c r="G44" s="145"/>
    </row>
    <row r="45" spans="1:7" ht="13.5">
      <c r="A45" s="146" t="s">
        <v>250</v>
      </c>
      <c r="B45" s="144"/>
      <c r="C45" s="144"/>
      <c r="D45" s="144"/>
      <c r="E45" s="144"/>
      <c r="F45" s="144"/>
      <c r="G45" s="145"/>
    </row>
    <row r="46" spans="1:7" ht="13.5">
      <c r="A46" s="146"/>
      <c r="B46" s="144"/>
      <c r="C46" s="144"/>
      <c r="D46" s="144"/>
      <c r="E46" s="144"/>
      <c r="F46" s="144"/>
      <c r="G46" s="145"/>
    </row>
    <row r="47" spans="1:7" ht="13.5">
      <c r="A47" s="146" t="s">
        <v>234</v>
      </c>
      <c r="B47" s="144"/>
      <c r="C47" s="144"/>
      <c r="D47" s="144"/>
      <c r="E47" s="144"/>
      <c r="F47" s="144"/>
      <c r="G47" s="145"/>
    </row>
    <row r="48" spans="1:7" ht="13.5">
      <c r="A48" s="148"/>
      <c r="B48" s="149"/>
      <c r="C48" s="149"/>
      <c r="D48" s="149"/>
      <c r="E48" s="149"/>
      <c r="F48" s="149"/>
      <c r="G48" s="150"/>
    </row>
    <row r="49" spans="1:7" ht="21">
      <c r="A49" s="80" t="s">
        <v>43</v>
      </c>
      <c r="B49" s="81">
        <f>$B$1</f>
        <v>1</v>
      </c>
      <c r="C49" s="82" t="s">
        <v>60</v>
      </c>
      <c r="D49" s="83" t="str">
        <f>$E$1</f>
        <v>無限回</v>
      </c>
      <c r="E49" s="173" t="str">
        <f>$B$2</f>
        <v>エルドリッチ・ブラスト</v>
      </c>
      <c r="F49" s="174"/>
      <c r="G49" s="175"/>
    </row>
  </sheetData>
  <sheetProtection/>
  <mergeCells count="42">
    <mergeCell ref="A32:G32"/>
    <mergeCell ref="A33:G33"/>
    <mergeCell ref="A23:A27"/>
    <mergeCell ref="B24:B25"/>
    <mergeCell ref="B26:B27"/>
    <mergeCell ref="A28:G28"/>
    <mergeCell ref="A31:G31"/>
    <mergeCell ref="A46:G46"/>
    <mergeCell ref="A29:G29"/>
    <mergeCell ref="A38:G38"/>
    <mergeCell ref="A39:G39"/>
    <mergeCell ref="A40:G40"/>
    <mergeCell ref="E49:G49"/>
    <mergeCell ref="A34:G34"/>
    <mergeCell ref="A35:G35"/>
    <mergeCell ref="A36:G36"/>
    <mergeCell ref="A42:G42"/>
    <mergeCell ref="A43:G43"/>
    <mergeCell ref="A44:G44"/>
    <mergeCell ref="A45:G45"/>
    <mergeCell ref="A48:G48"/>
    <mergeCell ref="A47:G47"/>
    <mergeCell ref="B1:C1"/>
    <mergeCell ref="F1:G1"/>
    <mergeCell ref="A17:C17"/>
    <mergeCell ref="A18:A22"/>
    <mergeCell ref="B19:B20"/>
    <mergeCell ref="H11:H12"/>
    <mergeCell ref="B4:G4"/>
    <mergeCell ref="B5:G5"/>
    <mergeCell ref="B6:D6"/>
    <mergeCell ref="B7:G7"/>
    <mergeCell ref="B8:G8"/>
    <mergeCell ref="B9:G9"/>
    <mergeCell ref="B10:G10"/>
    <mergeCell ref="B21:B22"/>
    <mergeCell ref="B13:G13"/>
    <mergeCell ref="B14:G14"/>
    <mergeCell ref="B2:G2"/>
    <mergeCell ref="B11:G11"/>
    <mergeCell ref="B12:G12"/>
    <mergeCell ref="B15:G15"/>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3.xml><?xml version="1.0" encoding="utf-8"?>
<worksheet xmlns="http://schemas.openxmlformats.org/spreadsheetml/2006/main" xmlns:r="http://schemas.openxmlformats.org/officeDocument/2006/relationships">
  <sheetPr>
    <tabColor rgb="FF008000"/>
  </sheetPr>
  <dimension ref="A1:M51"/>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29" t="s">
        <v>43</v>
      </c>
      <c r="B1" s="159">
        <v>1</v>
      </c>
      <c r="C1" s="160"/>
      <c r="D1" s="31" t="s">
        <v>60</v>
      </c>
      <c r="E1" s="30" t="s">
        <v>61</v>
      </c>
      <c r="F1" s="161"/>
      <c r="G1" s="162"/>
      <c r="H1" s="34" t="s">
        <v>90</v>
      </c>
    </row>
    <row r="2" spans="1:8" ht="24.75" customHeight="1">
      <c r="A2" s="31" t="s">
        <v>0</v>
      </c>
      <c r="B2" s="147" t="s">
        <v>94</v>
      </c>
      <c r="C2" s="147"/>
      <c r="D2" s="147"/>
      <c r="E2" s="147"/>
      <c r="F2" s="147"/>
      <c r="G2" s="147"/>
      <c r="H2" s="34" t="s">
        <v>92</v>
      </c>
    </row>
    <row r="3" spans="1:9" ht="19.5" customHeight="1">
      <c r="A3" s="32" t="s">
        <v>82</v>
      </c>
      <c r="B3" s="1"/>
      <c r="C3" s="1"/>
      <c r="D3" s="1"/>
      <c r="I3" s="34" t="s">
        <v>79</v>
      </c>
    </row>
    <row r="4" spans="1:9" ht="13.5">
      <c r="A4" s="36" t="s">
        <v>80</v>
      </c>
      <c r="B4" s="153" t="s">
        <v>95</v>
      </c>
      <c r="C4" s="154"/>
      <c r="D4" s="154"/>
      <c r="E4" s="154"/>
      <c r="F4" s="154"/>
      <c r="G4" s="155"/>
      <c r="H4" s="22" t="s">
        <v>75</v>
      </c>
      <c r="I4" s="25">
        <v>1</v>
      </c>
    </row>
    <row r="5" spans="1:9" ht="13.5">
      <c r="A5" s="37" t="s">
        <v>57</v>
      </c>
      <c r="B5" s="153" t="s">
        <v>236</v>
      </c>
      <c r="C5" s="154"/>
      <c r="D5" s="154"/>
      <c r="E5" s="154"/>
      <c r="F5" s="154"/>
      <c r="G5" s="155"/>
      <c r="H5" s="22" t="s">
        <v>76</v>
      </c>
      <c r="I5" s="25">
        <v>1</v>
      </c>
    </row>
    <row r="6" spans="1:9" ht="13.5">
      <c r="A6" s="37" t="s">
        <v>11</v>
      </c>
      <c r="B6" s="153" t="s">
        <v>9</v>
      </c>
      <c r="C6" s="154"/>
      <c r="D6" s="155"/>
      <c r="E6" s="22" t="s">
        <v>96</v>
      </c>
      <c r="F6" s="55" t="str">
        <f>$I$8</f>
        <v>遠隔</v>
      </c>
      <c r="G6" s="6">
        <f>$J$8</f>
        <v>10</v>
      </c>
      <c r="H6" s="54" t="s">
        <v>139</v>
      </c>
      <c r="I6" s="53">
        <v>0</v>
      </c>
    </row>
    <row r="7" spans="1:9" ht="13.5">
      <c r="A7" s="38" t="s">
        <v>10</v>
      </c>
      <c r="B7" s="153" t="s">
        <v>13</v>
      </c>
      <c r="C7" s="154"/>
      <c r="D7" s="154"/>
      <c r="E7" s="154"/>
      <c r="F7" s="154"/>
      <c r="G7" s="155"/>
      <c r="H7" s="54" t="s">
        <v>140</v>
      </c>
      <c r="I7" s="53">
        <v>0</v>
      </c>
    </row>
    <row r="8" spans="1:10" ht="13.5">
      <c r="A8" s="38" t="s">
        <v>14</v>
      </c>
      <c r="B8" s="153" t="s">
        <v>97</v>
      </c>
      <c r="C8" s="154"/>
      <c r="D8" s="154"/>
      <c r="E8" s="154"/>
      <c r="F8" s="154"/>
      <c r="G8" s="155"/>
      <c r="H8" s="22" t="s">
        <v>70</v>
      </c>
      <c r="I8" s="25" t="s">
        <v>71</v>
      </c>
      <c r="J8" s="25">
        <v>10</v>
      </c>
    </row>
    <row r="9" spans="1:11" ht="13.5">
      <c r="A9" s="40" t="s">
        <v>16</v>
      </c>
      <c r="B9" s="153" t="s">
        <v>98</v>
      </c>
      <c r="C9" s="154"/>
      <c r="D9" s="154"/>
      <c r="E9" s="154"/>
      <c r="F9" s="154"/>
      <c r="G9" s="155"/>
      <c r="H9" s="3"/>
      <c r="I9" s="34" t="s">
        <v>91</v>
      </c>
      <c r="K9" s="34" t="s">
        <v>166</v>
      </c>
    </row>
    <row r="10" spans="1:13" ht="13.5">
      <c r="A10" s="39"/>
      <c r="B10" s="156" t="s">
        <v>149</v>
      </c>
      <c r="C10" s="157"/>
      <c r="D10" s="157"/>
      <c r="E10" s="157"/>
      <c r="F10" s="157"/>
      <c r="G10" s="158"/>
      <c r="H10" s="22" t="s">
        <v>86</v>
      </c>
      <c r="I10" s="25" t="s">
        <v>27</v>
      </c>
      <c r="J10" s="25" t="s">
        <v>29</v>
      </c>
      <c r="K10" s="69">
        <f>IF($I$10="知力",'基本'!$K$36,'基本'!$K$18)</f>
        <v>6</v>
      </c>
      <c r="L10" s="22" t="s">
        <v>88</v>
      </c>
      <c r="M10" s="6">
        <f>IF($I$10="知力",'基本'!$G$34,'基本'!$G$16)</f>
        <v>18</v>
      </c>
    </row>
    <row r="11" spans="1:12" ht="13.5">
      <c r="A11" s="39"/>
      <c r="B11" s="146" t="s">
        <v>165</v>
      </c>
      <c r="C11" s="144"/>
      <c r="D11" s="144"/>
      <c r="E11" s="144"/>
      <c r="F11" s="144"/>
      <c r="G11" s="145"/>
      <c r="H11" s="151" t="s">
        <v>87</v>
      </c>
      <c r="I11" s="25" t="s">
        <v>27</v>
      </c>
      <c r="K11" s="69">
        <f>IF($I$11="知力",'基本'!$K$36,'基本'!$K$18)</f>
        <v>6</v>
      </c>
      <c r="L11" s="1"/>
    </row>
    <row r="12" spans="1:13" ht="13.5">
      <c r="A12" s="39"/>
      <c r="B12" s="146" t="s">
        <v>99</v>
      </c>
      <c r="C12" s="144"/>
      <c r="D12" s="144"/>
      <c r="E12" s="144"/>
      <c r="F12" s="144"/>
      <c r="G12" s="145"/>
      <c r="H12" s="152"/>
      <c r="I12" s="25">
        <v>1</v>
      </c>
      <c r="J12" s="22" t="s">
        <v>72</v>
      </c>
      <c r="K12" s="25">
        <v>6</v>
      </c>
      <c r="L12" s="22" t="s">
        <v>89</v>
      </c>
      <c r="M12" s="6">
        <f>IF($I$11="知力",'基本'!$H$36,'基本'!$H$18)</f>
        <v>12</v>
      </c>
    </row>
    <row r="13" spans="1:11" ht="13.5">
      <c r="A13" s="39"/>
      <c r="B13" s="146" t="s">
        <v>100</v>
      </c>
      <c r="C13" s="144"/>
      <c r="D13" s="144"/>
      <c r="E13" s="144"/>
      <c r="F13" s="144"/>
      <c r="G13" s="145"/>
      <c r="H13" s="22" t="s">
        <v>85</v>
      </c>
      <c r="I13" s="6">
        <f>IF($I$11="知力",'基本'!$L$38,'基本'!$L$20)</f>
        <v>3</v>
      </c>
      <c r="J13" s="22" t="s">
        <v>72</v>
      </c>
      <c r="K13" s="6">
        <f>IF($I$11="知力",'基本'!$N$38,'基本'!$N$20)</f>
        <v>10</v>
      </c>
    </row>
    <row r="14" spans="1:11" ht="17.25">
      <c r="A14" s="39"/>
      <c r="B14" s="184" t="str">
        <f>"　　　　　　           　      　　ダメージ："&amp;$M$12+IF($I15="光輝",3,0)+$I$7&amp;"+"&amp;$I$12&amp;"d"&amp;$K$12</f>
        <v>　　　　　　           　      　　ダメージ：15+1d6</v>
      </c>
      <c r="C14" s="185"/>
      <c r="D14" s="185"/>
      <c r="E14" s="185"/>
      <c r="F14" s="185"/>
      <c r="G14" s="186"/>
      <c r="H14" s="22" t="s">
        <v>93</v>
      </c>
      <c r="I14" s="6">
        <f>'基本'!$B$21</f>
        <v>2</v>
      </c>
      <c r="J14" s="22" t="s">
        <v>72</v>
      </c>
      <c r="K14" s="6">
        <f>'基本'!$D$21</f>
        <v>8</v>
      </c>
    </row>
    <row r="15" spans="1:9" ht="6.75" customHeight="1">
      <c r="A15" s="41"/>
      <c r="B15" s="148"/>
      <c r="C15" s="149"/>
      <c r="D15" s="149"/>
      <c r="E15" s="149"/>
      <c r="F15" s="149"/>
      <c r="G15" s="150"/>
      <c r="H15" s="54" t="s">
        <v>141</v>
      </c>
      <c r="I15" s="26" t="s">
        <v>142</v>
      </c>
    </row>
    <row r="16" spans="1:5" ht="14.25" thickBot="1">
      <c r="A16" s="33" t="s">
        <v>81</v>
      </c>
      <c r="E16" s="4"/>
    </row>
    <row r="17" spans="1:8" ht="18.75" customHeight="1" thickBot="1">
      <c r="A17" s="163" t="str">
        <f>$B$2</f>
        <v>ダイア・レイディアンス</v>
      </c>
      <c r="B17" s="164"/>
      <c r="C17" s="165"/>
      <c r="D17" s="7" t="s">
        <v>4</v>
      </c>
      <c r="E17" s="70" t="s">
        <v>3</v>
      </c>
      <c r="F17" s="71" t="s">
        <v>58</v>
      </c>
      <c r="G17" s="17" t="s">
        <v>59</v>
      </c>
      <c r="H17" s="34"/>
    </row>
    <row r="18" spans="1:7" ht="38.25" customHeight="1">
      <c r="A18" s="166" t="s">
        <v>1</v>
      </c>
      <c r="B18" s="8" t="s">
        <v>68</v>
      </c>
      <c r="C18" s="35" t="str">
        <f>$J$10</f>
        <v>頑健</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光輝</v>
      </c>
      <c r="D19" s="11" t="str">
        <f>$M$12+IF($I15="光輝",3,0)+$I$7&amp;"+"&amp;$I$12&amp;"d"&amp;$K$12</f>
        <v>15+1d6</v>
      </c>
      <c r="E19" s="11" t="str">
        <f>$M$12+IF($I15="光輝",3,0)+$I$7&amp;"+"&amp;$I$12&amp;"d"&amp;$K$12</f>
        <v>15+1d6</v>
      </c>
      <c r="F19" s="11" t="str">
        <f>$M$12+IF($I15="光輝",3,0)+$I$7&amp;"+"&amp;$I$12&amp;"d"&amp;$K$12&amp;IF($I$5=1," ★","")</f>
        <v>15+1d6 ★</v>
      </c>
      <c r="G19" s="65" t="str">
        <f>$M$12+IF($I15="光輝",3,0)+$I$7&amp;"+"&amp;$I$12&amp;"d"&amp;$K$12&amp;IF($I$5=1," ★","")</f>
        <v>15+1d6 ★</v>
      </c>
    </row>
    <row r="20" spans="1:11" ht="24.75" customHeight="1">
      <c r="A20" s="167"/>
      <c r="B20" s="170"/>
      <c r="C20" s="19" t="s">
        <v>2</v>
      </c>
      <c r="D20" s="16" t="str">
        <f>$M$12+IF($I15="光輝",3,0)+$I$7&amp;"+"&amp;$I$12&amp;"d"&amp;$K$12&amp;"+"&amp;$I$14&amp;"d"&amp;$K$14</f>
        <v>15+1d6+2d8</v>
      </c>
      <c r="E20" s="16" t="str">
        <f>$M$12+IF($I15="光輝",3,0)+$I$7&amp;"+"&amp;$I$12&amp;"d"&amp;$K$12&amp;"+"&amp;$I$14&amp;"d"&amp;$K$14</f>
        <v>15+1d6+2d8</v>
      </c>
      <c r="F20" s="16" t="str">
        <f>$M$12+IF($I15="光輝",3,0)+$I$7&amp;"+"&amp;$I$12&amp;"d"&amp;$K$12&amp;"+"&amp;$I$14&amp;"d"&amp;$K$14&amp;IF($I$5=1," ★","")</f>
        <v>15+1d6+2d8 ★</v>
      </c>
      <c r="G20" s="66" t="str">
        <f>$M$12+IF($I15="光輝",3,0)+$I$7&amp;"+"&amp;$I$12&amp;"d"&amp;$K$12&amp;"+"&amp;$I$14&amp;"d"&amp;$K$14&amp;IF($I$5=1," ★","")</f>
        <v>15+1d6+2d8 ★</v>
      </c>
      <c r="I20"/>
      <c r="J20"/>
      <c r="K20"/>
    </row>
    <row r="21" spans="1:11" ht="24.75" customHeight="1">
      <c r="A21" s="167"/>
      <c r="B21" s="141" t="s">
        <v>6</v>
      </c>
      <c r="C21" s="13" t="str">
        <f>IF($I$15=0,"",$I$15)</f>
        <v>光輝</v>
      </c>
      <c r="D21" s="14" t="str">
        <f>($I$12*$K$12)+$M$12+IF($I15="光輝",3,0)+$I$7&amp;"+"&amp;$I$13&amp;"d"&amp;$K$13</f>
        <v>21+3d10</v>
      </c>
      <c r="E21" s="14" t="str">
        <f>($I$12*$K$12)+$M$12+IF($I15="光輝",3,0)+$I$7&amp;"+"&amp;$I$13&amp;"d"&amp;$K$13</f>
        <v>21+3d10</v>
      </c>
      <c r="F21" s="14" t="str">
        <f>($I$12*$K$12)+$M$12+IF($I15="光輝",3,0)+$I$7&amp;"+"&amp;$I$13&amp;"d"&amp;$K$13&amp;IF($I$5=1," ★","")</f>
        <v>21+3d10 ★</v>
      </c>
      <c r="G21" s="67" t="str">
        <f>($I$12*$K$12)+$M$12+IF($I15="光輝",3,0)+$I$7&amp;"+"&amp;$I$13&amp;"d"&amp;$K$13&amp;IF($I$5=1," ★","")</f>
        <v>21+3d10 ★</v>
      </c>
      <c r="I21"/>
      <c r="J21"/>
      <c r="K21"/>
    </row>
    <row r="22" spans="1:11" ht="24.75" customHeight="1" thickBot="1">
      <c r="A22" s="168"/>
      <c r="B22" s="142"/>
      <c r="C22" s="18" t="s">
        <v>2</v>
      </c>
      <c r="D22" s="15" t="str">
        <f>($I$12*$K$12)+$M$12+IF($I15="光輝",3,0)+$I$7+($I$14*$K$14)&amp;"+"&amp;$I$13&amp;"d"&amp;$K$13</f>
        <v>37+3d10</v>
      </c>
      <c r="E22" s="15" t="str">
        <f>($I$12*$K$12)+$M$12+IF($I15="光輝",3,0)+$I$7+($I$14*$K$14)&amp;"+"&amp;$I$13&amp;"d"&amp;$K$13</f>
        <v>37+3d10</v>
      </c>
      <c r="F22" s="15" t="str">
        <f>($I$12*$K$12)+$M$12+IF($I15="光輝",3,0)+$I$7+($I$14*$K$14)&amp;"+"&amp;$I$13&amp;"d"&amp;$K$13&amp;IF($I$5=1," ★","")</f>
        <v>37+3d10 ★</v>
      </c>
      <c r="G22" s="68" t="str">
        <f>($I$12*$K$12)+$M$12+IF($I15="光輝",3,0)+$I$7+($I$14*$K$14)&amp;"+"&amp;$I$13&amp;"d"&amp;$K$13&amp;IF($I$5=1," ★","")</f>
        <v>37+3d10 ★</v>
      </c>
      <c r="I22"/>
      <c r="J22"/>
      <c r="K22"/>
    </row>
    <row r="23" spans="1:11" ht="38.25" customHeight="1">
      <c r="A23" s="180" t="s">
        <v>5</v>
      </c>
      <c r="B23" s="8" t="s">
        <v>68</v>
      </c>
      <c r="C23" s="35" t="str">
        <f>$J$10</f>
        <v>頑健</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光輝</v>
      </c>
      <c r="D24" s="11" t="str">
        <f>$M$12+IF($I15="光輝",3,0)+$I$7+5&amp;"+"&amp;$I$12&amp;$J$12&amp;$K$12</f>
        <v>20+1d6</v>
      </c>
      <c r="E24" s="11" t="str">
        <f>$M$12+IF($I15="光輝",3,0)+$I$7+5&amp;"+"&amp;$I$12&amp;$J$12&amp;$K$12</f>
        <v>20+1d6</v>
      </c>
      <c r="F24" s="11" t="str">
        <f>$M$12+IF($I15="光輝",3,0)+$I$7+5&amp;"+"&amp;$I$12&amp;$J$12&amp;$K$12&amp;IF($I$5=1," ★","")</f>
        <v>20+1d6 ★</v>
      </c>
      <c r="G24" s="65" t="str">
        <f>$M$12+IF($I15="光輝",3,0)+$I$7+5&amp;"+"&amp;$I$12&amp;$J$12&amp;$K$12&amp;IF($I$5=1," ★","")</f>
        <v>20+1d6 ★</v>
      </c>
      <c r="I24"/>
      <c r="J24"/>
      <c r="K24"/>
    </row>
    <row r="25" spans="1:11" ht="24" customHeight="1">
      <c r="A25" s="181"/>
      <c r="B25" s="170"/>
      <c r="C25" s="19" t="s">
        <v>2</v>
      </c>
      <c r="D25" s="16" t="str">
        <f>$M$12+IF($I15="光輝",3,0)+$I$7+5&amp;"+"&amp;$I$12&amp;"d"&amp;$K$12&amp;"+"&amp;$I$14&amp;"d"&amp;$K$14</f>
        <v>20+1d6+2d8</v>
      </c>
      <c r="E25" s="16" t="str">
        <f>$M$12+IF($I15="光輝",3,0)+$I$7+5&amp;"+"&amp;$I$12&amp;"d"&amp;$K$12&amp;"+"&amp;$I$14&amp;"d"&amp;$K$14</f>
        <v>20+1d6+2d8</v>
      </c>
      <c r="F25" s="16" t="str">
        <f>$M$12+IF($I15="光輝",3,0)+$I$7+5&amp;"+"&amp;$I$12&amp;"d"&amp;$K$12&amp;"+"&amp;$I$14&amp;"d"&amp;$K$14&amp;IF($I$5=1," ★","")</f>
        <v>20+1d6+2d8 ★</v>
      </c>
      <c r="G25" s="66" t="str">
        <f>$M$12+IF($I15="光輝",3,0)+$I$7+5&amp;"+"&amp;$I$12&amp;"d"&amp;$K$12&amp;"+"&amp;$I$14&amp;"d"&amp;$K$14&amp;IF($I$5=1," ★","")</f>
        <v>20+1d6+2d8 ★</v>
      </c>
      <c r="I25"/>
      <c r="J25"/>
      <c r="K25"/>
    </row>
    <row r="26" spans="1:11" ht="24" customHeight="1">
      <c r="A26" s="181"/>
      <c r="B26" s="141" t="s">
        <v>6</v>
      </c>
      <c r="C26" s="13" t="str">
        <f>IF($I$15=0,"",$I$15)</f>
        <v>光輝</v>
      </c>
      <c r="D26" s="14" t="str">
        <f>($I$12*$K$12)+5+$M$12+IF($I15="光輝",3,0)+$I$7&amp;"+"&amp;$I$13&amp;"d"&amp;$K$13</f>
        <v>26+3d10</v>
      </c>
      <c r="E26" s="14" t="str">
        <f>($I$12*$K$12)+5+$M$12+IF($I15="光輝",3,0)+$I$7&amp;"+"&amp;$I$13&amp;"d"&amp;$K$13</f>
        <v>26+3d10</v>
      </c>
      <c r="F26" s="14" t="str">
        <f>($I$12*$K$12)+5+$M$12+IF($I15="光輝",3,0)+$I$7&amp;"+"&amp;$I$13&amp;"d"&amp;$K$13&amp;IF($I$5=1," ★","")</f>
        <v>26+3d10 ★</v>
      </c>
      <c r="G26" s="67" t="str">
        <f>($I$12*$K$12)+5+$M$12+IF($I15="光輝",3,0)+$I$7&amp;"+"&amp;$I$13&amp;"d"&amp;$K$13&amp;IF($I$5=1," ★","")</f>
        <v>26+3d10 ★</v>
      </c>
      <c r="I26"/>
      <c r="J26"/>
      <c r="K26"/>
    </row>
    <row r="27" spans="1:11" ht="24" customHeight="1" thickBot="1">
      <c r="A27" s="182"/>
      <c r="B27" s="142"/>
      <c r="C27" s="18" t="s">
        <v>2</v>
      </c>
      <c r="D27" s="15" t="str">
        <f>($I$12*$K$12)+5+$M$12+IF($I15="光輝",3,0)+$I$7+($I$14*$K$14)&amp;"+"&amp;$I$13&amp;"d"&amp;$K$13</f>
        <v>42+3d10</v>
      </c>
      <c r="E27" s="15" t="str">
        <f>($I$12*$K$12)+5+$M$12+IF($I15="光輝",3,0)+$I$7+($I$14*$K$14)&amp;"+"&amp;$I$13&amp;"d"&amp;$K$13</f>
        <v>42+3d10</v>
      </c>
      <c r="F27" s="15" t="str">
        <f>($I$12*$K$12)+5+$M$12+IF($I15="光輝",3,0)+$I$7+($I$14*$K$14)&amp;"+"&amp;$I$13&amp;"d"&amp;$K$13&amp;IF($I$5=1," ★","")</f>
        <v>42+3d10 ★</v>
      </c>
      <c r="G27" s="68" t="str">
        <f>($I$12*$K$12)+5+$M$12+IF($I15="光輝",3,0)+$I$7+($I$14*$K$14)&amp;"+"&amp;$I$13&amp;"d"&amp;$K$13&amp;IF($I$5=1," ★","")</f>
        <v>42+3d10 ★</v>
      </c>
      <c r="I27"/>
      <c r="J27"/>
      <c r="K27"/>
    </row>
    <row r="28" spans="1:11" ht="21"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11" s="61" customFormat="1" ht="6.75" customHeight="1">
      <c r="A41" s="117"/>
      <c r="B41" s="117"/>
      <c r="C41" s="117"/>
      <c r="D41" s="117"/>
      <c r="E41" s="117"/>
      <c r="F41" s="117"/>
      <c r="G41" s="117"/>
      <c r="H41" s="62"/>
      <c r="I41" s="62"/>
      <c r="J41" s="62"/>
      <c r="K41" s="62"/>
    </row>
    <row r="42" spans="1:7" ht="13.5">
      <c r="A42" s="177" t="s">
        <v>83</v>
      </c>
      <c r="B42" s="178"/>
      <c r="C42" s="178"/>
      <c r="D42" s="178"/>
      <c r="E42" s="178"/>
      <c r="F42" s="178"/>
      <c r="G42" s="179"/>
    </row>
    <row r="43" spans="1:7" ht="8.25" customHeight="1">
      <c r="A43" s="146"/>
      <c r="B43" s="144"/>
      <c r="C43" s="144"/>
      <c r="D43" s="144"/>
      <c r="E43" s="144"/>
      <c r="F43" s="144"/>
      <c r="G43" s="145"/>
    </row>
    <row r="44" spans="1:7" ht="13.5">
      <c r="A44" s="146" t="s">
        <v>199</v>
      </c>
      <c r="B44" s="144"/>
      <c r="C44" s="144"/>
      <c r="D44" s="144"/>
      <c r="E44" s="144"/>
      <c r="F44" s="144"/>
      <c r="G44" s="145"/>
    </row>
    <row r="45" spans="1:7" ht="13.5">
      <c r="A45" s="146" t="s">
        <v>242</v>
      </c>
      <c r="B45" s="144"/>
      <c r="C45" s="144"/>
      <c r="D45" s="144"/>
      <c r="E45" s="144"/>
      <c r="F45" s="144"/>
      <c r="G45" s="145"/>
    </row>
    <row r="46" spans="1:7" ht="13.5">
      <c r="A46" s="146" t="s">
        <v>243</v>
      </c>
      <c r="B46" s="144"/>
      <c r="C46" s="144"/>
      <c r="D46" s="144"/>
      <c r="E46" s="144"/>
      <c r="F46" s="144"/>
      <c r="G46" s="145"/>
    </row>
    <row r="47" spans="1:7" ht="13.5">
      <c r="A47" s="146" t="s">
        <v>200</v>
      </c>
      <c r="B47" s="144"/>
      <c r="C47" s="144"/>
      <c r="D47" s="144"/>
      <c r="E47" s="144"/>
      <c r="F47" s="144"/>
      <c r="G47" s="145"/>
    </row>
    <row r="48" spans="1:7" ht="13.5">
      <c r="A48" s="146" t="s">
        <v>201</v>
      </c>
      <c r="B48" s="144"/>
      <c r="C48" s="144"/>
      <c r="D48" s="144"/>
      <c r="E48" s="144"/>
      <c r="F48" s="144"/>
      <c r="G48" s="145"/>
    </row>
    <row r="49" spans="1:7" ht="13.5">
      <c r="A49" s="146" t="s">
        <v>244</v>
      </c>
      <c r="B49" s="144"/>
      <c r="C49" s="144"/>
      <c r="D49" s="144"/>
      <c r="E49" s="144"/>
      <c r="F49" s="144"/>
      <c r="G49" s="145"/>
    </row>
    <row r="50" spans="1:7" ht="8.25" customHeight="1">
      <c r="A50" s="148"/>
      <c r="B50" s="149"/>
      <c r="C50" s="149"/>
      <c r="D50" s="149"/>
      <c r="E50" s="149"/>
      <c r="F50" s="149"/>
      <c r="G50" s="150"/>
    </row>
    <row r="51" spans="1:7" ht="21">
      <c r="A51" s="80" t="s">
        <v>43</v>
      </c>
      <c r="B51" s="81">
        <f>$B$1</f>
        <v>1</v>
      </c>
      <c r="C51" s="82" t="s">
        <v>60</v>
      </c>
      <c r="D51" s="83" t="str">
        <f>$E$1</f>
        <v>無限回</v>
      </c>
      <c r="E51" s="173" t="str">
        <f>$B$2</f>
        <v>ダイア・レイディアンス</v>
      </c>
      <c r="F51" s="174"/>
      <c r="G51" s="175"/>
    </row>
  </sheetData>
  <sheetProtection/>
  <mergeCells count="44">
    <mergeCell ref="A50:G50"/>
    <mergeCell ref="A45:G45"/>
    <mergeCell ref="A46:G46"/>
    <mergeCell ref="A47:G47"/>
    <mergeCell ref="A48:G48"/>
    <mergeCell ref="A32:G32"/>
    <mergeCell ref="A34:G34"/>
    <mergeCell ref="A35:G35"/>
    <mergeCell ref="A36:G36"/>
    <mergeCell ref="A38:G38"/>
    <mergeCell ref="B9:G9"/>
    <mergeCell ref="A29:G29"/>
    <mergeCell ref="A31:G31"/>
    <mergeCell ref="A44:G44"/>
    <mergeCell ref="B7:G7"/>
    <mergeCell ref="B8:G8"/>
    <mergeCell ref="A28:G28"/>
    <mergeCell ref="B10:G10"/>
    <mergeCell ref="B13:G13"/>
    <mergeCell ref="B14:G14"/>
    <mergeCell ref="B1:C1"/>
    <mergeCell ref="F1:G1"/>
    <mergeCell ref="B2:G2"/>
    <mergeCell ref="B4:G4"/>
    <mergeCell ref="B5:G5"/>
    <mergeCell ref="B6:D6"/>
    <mergeCell ref="H11:H12"/>
    <mergeCell ref="A17:C17"/>
    <mergeCell ref="A18:A22"/>
    <mergeCell ref="B19:B20"/>
    <mergeCell ref="B21:B22"/>
    <mergeCell ref="B11:G11"/>
    <mergeCell ref="B12:G12"/>
    <mergeCell ref="B15:G15"/>
    <mergeCell ref="E51:G51"/>
    <mergeCell ref="B24:B25"/>
    <mergeCell ref="B26:B27"/>
    <mergeCell ref="A42:G42"/>
    <mergeCell ref="A33:G33"/>
    <mergeCell ref="A39:G39"/>
    <mergeCell ref="A40:G40"/>
    <mergeCell ref="A43:G43"/>
    <mergeCell ref="A49:G49"/>
    <mergeCell ref="A23:A27"/>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4.xml><?xml version="1.0" encoding="utf-8"?>
<worksheet xmlns="http://schemas.openxmlformats.org/spreadsheetml/2006/main" xmlns:r="http://schemas.openxmlformats.org/officeDocument/2006/relationships">
  <sheetPr>
    <tabColor rgb="FFC00000"/>
  </sheetPr>
  <dimension ref="A1:M49"/>
  <sheetViews>
    <sheetView zoomScalePageLayoutView="0" workbookViewId="0" topLeftCell="A19">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97" t="s">
        <v>43</v>
      </c>
      <c r="B1" s="195">
        <v>1</v>
      </c>
      <c r="C1" s="196"/>
      <c r="D1" s="98" t="s">
        <v>60</v>
      </c>
      <c r="E1" s="99" t="s">
        <v>107</v>
      </c>
      <c r="F1" s="197"/>
      <c r="G1" s="198"/>
      <c r="H1" s="34" t="s">
        <v>90</v>
      </c>
    </row>
    <row r="2" spans="1:8" ht="24.75" customHeight="1">
      <c r="A2" s="98" t="s">
        <v>0</v>
      </c>
      <c r="B2" s="199" t="s">
        <v>52</v>
      </c>
      <c r="C2" s="199"/>
      <c r="D2" s="199"/>
      <c r="E2" s="199"/>
      <c r="F2" s="199"/>
      <c r="G2" s="199"/>
      <c r="H2" s="34" t="s">
        <v>92</v>
      </c>
    </row>
    <row r="3" spans="1:9" ht="19.5" customHeight="1">
      <c r="A3" s="32" t="s">
        <v>82</v>
      </c>
      <c r="B3" s="1"/>
      <c r="C3" s="1"/>
      <c r="D3" s="1"/>
      <c r="I3" s="34" t="s">
        <v>79</v>
      </c>
    </row>
    <row r="4" spans="1:9" ht="13.5">
      <c r="A4" s="36" t="s">
        <v>80</v>
      </c>
      <c r="B4" s="153" t="s">
        <v>101</v>
      </c>
      <c r="C4" s="154"/>
      <c r="D4" s="154"/>
      <c r="E4" s="154"/>
      <c r="F4" s="154"/>
      <c r="G4" s="155"/>
      <c r="H4" s="22" t="s">
        <v>75</v>
      </c>
      <c r="I4" s="25">
        <v>0</v>
      </c>
    </row>
    <row r="5" spans="1:9" ht="13.5">
      <c r="A5" s="37" t="s">
        <v>57</v>
      </c>
      <c r="B5" s="153" t="s">
        <v>102</v>
      </c>
      <c r="C5" s="154"/>
      <c r="D5" s="154"/>
      <c r="E5" s="154"/>
      <c r="F5" s="154"/>
      <c r="G5" s="155"/>
      <c r="H5" s="22" t="s">
        <v>76</v>
      </c>
      <c r="I5" s="25">
        <v>0</v>
      </c>
    </row>
    <row r="6" spans="1:9" ht="13.5">
      <c r="A6" s="37" t="s">
        <v>11</v>
      </c>
      <c r="B6" s="153" t="s">
        <v>9</v>
      </c>
      <c r="C6" s="154"/>
      <c r="D6" s="155"/>
      <c r="E6" s="22" t="s">
        <v>96</v>
      </c>
      <c r="F6" s="55" t="str">
        <f>$I$8</f>
        <v>遠隔</v>
      </c>
      <c r="G6" s="55">
        <f>$J$8</f>
        <v>10</v>
      </c>
      <c r="H6" s="54" t="s">
        <v>139</v>
      </c>
      <c r="I6" s="53">
        <v>1</v>
      </c>
    </row>
    <row r="7" spans="1:9" ht="13.5">
      <c r="A7" s="38" t="s">
        <v>10</v>
      </c>
      <c r="B7" s="153" t="s">
        <v>13</v>
      </c>
      <c r="C7" s="154"/>
      <c r="D7" s="154"/>
      <c r="E7" s="154"/>
      <c r="F7" s="154"/>
      <c r="G7" s="155"/>
      <c r="H7" s="54" t="s">
        <v>140</v>
      </c>
      <c r="I7" s="53">
        <v>0</v>
      </c>
    </row>
    <row r="8" spans="1:10" ht="13.5">
      <c r="A8" s="38" t="s">
        <v>14</v>
      </c>
      <c r="B8" s="156" t="s">
        <v>103</v>
      </c>
      <c r="C8" s="157"/>
      <c r="D8" s="157"/>
      <c r="E8" s="157"/>
      <c r="F8" s="157"/>
      <c r="G8" s="158"/>
      <c r="H8" s="22" t="s">
        <v>70</v>
      </c>
      <c r="I8" s="25" t="s">
        <v>71</v>
      </c>
      <c r="J8" s="25">
        <v>10</v>
      </c>
    </row>
    <row r="9" spans="1:11" ht="13.5">
      <c r="A9" s="40" t="s">
        <v>16</v>
      </c>
      <c r="B9" s="156" t="s">
        <v>104</v>
      </c>
      <c r="C9" s="157"/>
      <c r="D9" s="157"/>
      <c r="E9" s="157"/>
      <c r="F9" s="157"/>
      <c r="G9" s="158"/>
      <c r="H9" s="3"/>
      <c r="I9" s="34" t="s">
        <v>91</v>
      </c>
      <c r="K9" s="34" t="s">
        <v>166</v>
      </c>
    </row>
    <row r="10" spans="1:13" ht="14.25">
      <c r="A10" s="43"/>
      <c r="B10" s="146" t="s">
        <v>152</v>
      </c>
      <c r="C10" s="144"/>
      <c r="D10" s="144"/>
      <c r="E10" s="144"/>
      <c r="F10" s="144"/>
      <c r="G10" s="145"/>
      <c r="H10" s="22" t="s">
        <v>86</v>
      </c>
      <c r="I10" s="25" t="s">
        <v>27</v>
      </c>
      <c r="J10" s="25" t="s">
        <v>29</v>
      </c>
      <c r="K10" s="69">
        <f>IF($I$10="知力",'基本'!$K$36,'基本'!$K$18)</f>
        <v>6</v>
      </c>
      <c r="L10" s="22" t="s">
        <v>88</v>
      </c>
      <c r="M10" s="6">
        <f>IF($I$10="知力",'基本'!$G$34,'基本'!$G$16)</f>
        <v>18</v>
      </c>
    </row>
    <row r="11" spans="1:12" ht="13.5">
      <c r="A11" s="44"/>
      <c r="B11" s="148" t="s">
        <v>105</v>
      </c>
      <c r="C11" s="149"/>
      <c r="D11" s="149"/>
      <c r="E11" s="149"/>
      <c r="F11" s="149"/>
      <c r="G11" s="150"/>
      <c r="H11" s="190" t="s">
        <v>87</v>
      </c>
      <c r="I11" s="25" t="s">
        <v>27</v>
      </c>
      <c r="K11" s="69">
        <f>IF($I$11="知力",'基本'!$K$36,'基本'!$K$18)</f>
        <v>6</v>
      </c>
      <c r="L11" s="1"/>
    </row>
    <row r="12" spans="1:13" ht="13.5">
      <c r="A12" s="40" t="s">
        <v>18</v>
      </c>
      <c r="B12" s="146" t="s">
        <v>151</v>
      </c>
      <c r="C12" s="144"/>
      <c r="D12" s="144"/>
      <c r="E12" s="144"/>
      <c r="F12" s="144"/>
      <c r="G12" s="145"/>
      <c r="H12" s="191"/>
      <c r="I12" s="25">
        <v>1</v>
      </c>
      <c r="J12" s="22" t="s">
        <v>72</v>
      </c>
      <c r="K12" s="25">
        <v>8</v>
      </c>
      <c r="L12" s="22" t="s">
        <v>89</v>
      </c>
      <c r="M12" s="6">
        <f>IF($I$11="知力",'基本'!$H$36,'基本'!$H$18)</f>
        <v>12</v>
      </c>
    </row>
    <row r="13" spans="1:11" ht="13.5">
      <c r="A13" s="39"/>
      <c r="B13" s="146"/>
      <c r="C13" s="144"/>
      <c r="D13" s="144"/>
      <c r="E13" s="144"/>
      <c r="F13" s="144"/>
      <c r="G13" s="145"/>
      <c r="H13" s="42" t="s">
        <v>85</v>
      </c>
      <c r="I13" s="6">
        <f>IF($I$11="知力",'基本'!$L$38,'基本'!$L$20)</f>
        <v>3</v>
      </c>
      <c r="J13" s="22" t="s">
        <v>72</v>
      </c>
      <c r="K13" s="6">
        <f>IF($I$11="知力",'基本'!$N$38,'基本'!$N$20)</f>
        <v>10</v>
      </c>
    </row>
    <row r="14" spans="1:11" ht="13.5">
      <c r="A14" s="39"/>
      <c r="B14" s="146"/>
      <c r="C14" s="144"/>
      <c r="D14" s="144"/>
      <c r="E14" s="144"/>
      <c r="F14" s="144"/>
      <c r="G14" s="145"/>
      <c r="H14" s="22" t="s">
        <v>93</v>
      </c>
      <c r="I14" s="6">
        <f>'基本'!$B$21</f>
        <v>2</v>
      </c>
      <c r="J14" s="22" t="s">
        <v>72</v>
      </c>
      <c r="K14" s="6">
        <f>'基本'!$D$21</f>
        <v>8</v>
      </c>
    </row>
    <row r="15" spans="1:9" ht="13.5">
      <c r="A15" s="41"/>
      <c r="B15" s="148"/>
      <c r="C15" s="149"/>
      <c r="D15" s="149"/>
      <c r="E15" s="149"/>
      <c r="F15" s="149"/>
      <c r="G15" s="150"/>
      <c r="H15" s="54" t="s">
        <v>141</v>
      </c>
      <c r="I15" s="26" t="s">
        <v>145</v>
      </c>
    </row>
    <row r="16" spans="1:5" ht="14.25" thickBot="1">
      <c r="A16" s="33" t="s">
        <v>81</v>
      </c>
      <c r="E16" s="4"/>
    </row>
    <row r="17" spans="1:7" ht="18.75" customHeight="1" thickBot="1">
      <c r="A17" s="192" t="str">
        <f>$B$2</f>
        <v>ドラゴンフロスト</v>
      </c>
      <c r="B17" s="193"/>
      <c r="C17" s="194"/>
      <c r="D17" s="7" t="s">
        <v>4</v>
      </c>
      <c r="E17" s="70" t="s">
        <v>3</v>
      </c>
      <c r="F17" s="71" t="s">
        <v>58</v>
      </c>
      <c r="G17" s="17" t="s">
        <v>59</v>
      </c>
    </row>
    <row r="18" spans="1:7" ht="38.25" customHeight="1">
      <c r="A18" s="166" t="s">
        <v>1</v>
      </c>
      <c r="B18" s="8" t="s">
        <v>68</v>
      </c>
      <c r="C18" s="35" t="str">
        <f>$J$10</f>
        <v>頑健</v>
      </c>
      <c r="D18" s="9" t="str">
        <f>"呪 + "&amp;$M$10+$I$6&amp;"+1d20"&amp;IF($I$4=1," ※","")</f>
        <v>呪 + 19+1d20</v>
      </c>
      <c r="E18" s="9" t="str">
        <f>"呪 + "&amp;$M$10+2+$I$6&amp;"+1d20"&amp;IF($I$4=1," ※","")</f>
        <v>呪 + 21+1d20</v>
      </c>
      <c r="F18" s="9" t="str">
        <f>"呪 + "&amp;$M$10+$I$6+3&amp;"+1d20"&amp;IF($I$4=1," ※","")</f>
        <v>呪 + 22+1d20</v>
      </c>
      <c r="G18" s="64" t="str">
        <f>"呪 + "&amp;$M$10+$I$6+5&amp;"+1d20"&amp;IF($I$4=1," ※","")</f>
        <v>呪 + 24+1d20</v>
      </c>
    </row>
    <row r="19" spans="1:7" ht="24.75" customHeight="1">
      <c r="A19" s="167"/>
      <c r="B19" s="169" t="s">
        <v>7</v>
      </c>
      <c r="C19" s="10" t="str">
        <f>IF($I$15=0,"",$I$15)</f>
        <v>冷気</v>
      </c>
      <c r="D19" s="11" t="str">
        <f>$M$12+IF($I15="光輝",3,0)+$I$7&amp;"+"&amp;$I$12&amp;"d"&amp;$K$12</f>
        <v>12+1d8</v>
      </c>
      <c r="E19" s="11" t="str">
        <f>$M$12+IF($I15="光輝",3,0)+$I$7&amp;"+"&amp;$I$12&amp;"d"&amp;$K$12</f>
        <v>12+1d8</v>
      </c>
      <c r="F19" s="11" t="str">
        <f>$M$12+IF($I15="光輝",3,0)+$I$7&amp;"+"&amp;$I$12&amp;"d"&amp;$K$12&amp;IF($I$5=1," ★","")</f>
        <v>12+1d8</v>
      </c>
      <c r="G19" s="65" t="str">
        <f>$M$12+IF($I15="光輝",3,0)+$I$7&amp;"+"&amp;$I$12&amp;"d"&amp;$K$12&amp;IF($I$5=1," ★","")</f>
        <v>12+1d8</v>
      </c>
    </row>
    <row r="20" spans="1:11" ht="24.75" customHeight="1">
      <c r="A20" s="167"/>
      <c r="B20" s="170"/>
      <c r="C20" s="19" t="s">
        <v>2</v>
      </c>
      <c r="D20" s="16" t="str">
        <f>$M$12+IF($I15="光輝",3,0)+$I$7&amp;"+"&amp;$I$12&amp;"d"&amp;$K$12&amp;"+"&amp;$I$14&amp;"d"&amp;$K$14</f>
        <v>12+1d8+2d8</v>
      </c>
      <c r="E20" s="16" t="str">
        <f>$M$12+IF($I15="光輝",3,0)+$I$7&amp;"+"&amp;$I$12&amp;"d"&amp;$K$12&amp;"+"&amp;$I$14&amp;"d"&amp;$K$14</f>
        <v>12+1d8+2d8</v>
      </c>
      <c r="F20" s="16" t="str">
        <f>$M$12+IF($I15="光輝",3,0)+$I$7&amp;"+"&amp;$I$12&amp;"d"&amp;$K$12&amp;"+"&amp;$I$14&amp;"d"&amp;$K$14&amp;IF($I$5=1," ★","")</f>
        <v>12+1d8+2d8</v>
      </c>
      <c r="G20" s="66" t="str">
        <f>$M$12+IF($I15="光輝",3,0)+$I$7&amp;"+"&amp;$I$12&amp;"d"&amp;$K$12&amp;"+"&amp;$I$14&amp;"d"&amp;$K$14&amp;IF($I$5=1," ★","")</f>
        <v>12+1d8+2d8</v>
      </c>
      <c r="I20"/>
      <c r="J20"/>
      <c r="K20"/>
    </row>
    <row r="21" spans="1:11" ht="24.75" customHeight="1">
      <c r="A21" s="167"/>
      <c r="B21" s="141" t="s">
        <v>6</v>
      </c>
      <c r="C21" s="13" t="str">
        <f>IF($I$15=0,"",$I$15)</f>
        <v>冷気</v>
      </c>
      <c r="D21" s="14" t="str">
        <f>($I$12*$K$12)+$M$12+IF($I15="光輝",3,0)+$I$7&amp;"+"&amp;$I$13&amp;"d"&amp;$K$13</f>
        <v>20+3d10</v>
      </c>
      <c r="E21" s="14" t="str">
        <f>($I$12*$K$12)+$M$12+IF($I15="光輝",3,0)+$I$7&amp;"+"&amp;$I$13&amp;"d"&amp;$K$13</f>
        <v>20+3d10</v>
      </c>
      <c r="F21" s="14" t="str">
        <f>($I$12*$K$12)+$M$12+IF($I15="光輝",3,0)+$I$7&amp;"+"&amp;$I$13&amp;"d"&amp;$K$13&amp;IF($I$5=1," ★","")</f>
        <v>20+3d10</v>
      </c>
      <c r="G21" s="67" t="str">
        <f>($I$12*$K$12)+$M$12+IF($I15="光輝",3,0)+$I$7&amp;"+"&amp;$I$13&amp;"d"&amp;$K$13&amp;IF($I$5=1," ★","")</f>
        <v>20+3d10</v>
      </c>
      <c r="I21"/>
      <c r="J21"/>
      <c r="K21"/>
    </row>
    <row r="22" spans="1:11" ht="24.75" customHeight="1" thickBot="1">
      <c r="A22" s="168"/>
      <c r="B22" s="142"/>
      <c r="C22" s="18" t="s">
        <v>2</v>
      </c>
      <c r="D22" s="15" t="str">
        <f>($I$12*$K$12)+$M$12+IF($I15="光輝",3,0)+$I$7+($I$14*$K$14)&amp;"+"&amp;$I$13&amp;"d"&amp;$K$13</f>
        <v>36+3d10</v>
      </c>
      <c r="E22" s="15" t="str">
        <f>($I$12*$K$12)+$M$12+IF($I15="光輝",3,0)+$I$7+($I$14*$K$14)&amp;"+"&amp;$I$13&amp;"d"&amp;$K$13</f>
        <v>36+3d10</v>
      </c>
      <c r="F22" s="15" t="str">
        <f>($I$12*$K$12)+$M$12+IF($I15="光輝",3,0)+$I$7+($I$14*$K$14)&amp;"+"&amp;$I$13&amp;"d"&amp;$K$13&amp;IF($I$5=1," ★","")</f>
        <v>36+3d10</v>
      </c>
      <c r="G22" s="68" t="str">
        <f>($I$12*$K$12)+$M$12+IF($I15="光輝",3,0)+$I$7+($I$14*$K$14)&amp;"+"&amp;$I$13&amp;"d"&amp;$K$13&amp;IF($I$5=1," ★","")</f>
        <v>36+3d10</v>
      </c>
      <c r="I22"/>
      <c r="J22"/>
      <c r="K22"/>
    </row>
    <row r="23" spans="1:11" ht="38.25" customHeight="1">
      <c r="A23" s="180" t="s">
        <v>5</v>
      </c>
      <c r="B23" s="8" t="s">
        <v>68</v>
      </c>
      <c r="C23" s="35" t="str">
        <f>$J$10</f>
        <v>頑健</v>
      </c>
      <c r="D23" s="9" t="str">
        <f>"呪 + "&amp;$M$10+$I$6+1&amp;"+1d20"&amp;IF($I$4=1," ※","")</f>
        <v>呪 + 20+1d20</v>
      </c>
      <c r="E23" s="9" t="str">
        <f>"呪 + "&amp;$M$10+$I$6+3&amp;"+1d20"&amp;IF($I$4=1," ※","")</f>
        <v>呪 + 22+1d20</v>
      </c>
      <c r="F23" s="9" t="str">
        <f>"呪 + "&amp;$M$10+$I$6+4&amp;"+1d20"&amp;IF($I$4=1," ※","")</f>
        <v>呪 + 23+1d20</v>
      </c>
      <c r="G23" s="64" t="str">
        <f>"呪 + "&amp;$M$10+$I$6+5+1&amp;"+1d20"&amp;IF($I$4=1," ※","")</f>
        <v>呪 + 25+1d20</v>
      </c>
      <c r="I23"/>
      <c r="J23"/>
      <c r="K23"/>
    </row>
    <row r="24" spans="1:11" ht="24" customHeight="1">
      <c r="A24" s="181"/>
      <c r="B24" s="169" t="s">
        <v>7</v>
      </c>
      <c r="C24" s="12" t="str">
        <f>IF($I$15=0,"",$I$15)</f>
        <v>冷気</v>
      </c>
      <c r="D24" s="11" t="str">
        <f>$M$12+IF($I15="光輝",3,0)+$I$7+5&amp;"+"&amp;$I$12&amp;$J$12&amp;$K$12</f>
        <v>17+1d8</v>
      </c>
      <c r="E24" s="11" t="str">
        <f>$M$12+IF($I15="光輝",3,0)+$I$7+5&amp;"+"&amp;$I$12&amp;$J$12&amp;$K$12</f>
        <v>17+1d8</v>
      </c>
      <c r="F24" s="11" t="str">
        <f>$M$12+IF($I15="光輝",3,0)+$I$7+5&amp;"+"&amp;$I$12&amp;$J$12&amp;$K$12&amp;IF($I$5=1," ★","")</f>
        <v>17+1d8</v>
      </c>
      <c r="G24" s="65" t="str">
        <f>$M$12+IF($I15="光輝",3,0)+$I$7+5&amp;"+"&amp;$I$12&amp;$J$12&amp;$K$12&amp;IF($I$5=1," ★","")</f>
        <v>17+1d8</v>
      </c>
      <c r="I24"/>
      <c r="J24"/>
      <c r="K24"/>
    </row>
    <row r="25" spans="1:11" ht="24" customHeight="1">
      <c r="A25" s="181"/>
      <c r="B25" s="170"/>
      <c r="C25" s="19" t="s">
        <v>2</v>
      </c>
      <c r="D25" s="16" t="str">
        <f>$M$12+IF($I15="光輝",3,0)+$I$7+5&amp;"+"&amp;$I$12&amp;"d"&amp;$K$12&amp;"+"&amp;$I$14&amp;"d"&amp;$K$14</f>
        <v>17+1d8+2d8</v>
      </c>
      <c r="E25" s="16" t="str">
        <f>$M$12+IF($I15="光輝",3,0)+$I$7+5&amp;"+"&amp;$I$12&amp;"d"&amp;$K$12&amp;"+"&amp;$I$14&amp;"d"&amp;$K$14</f>
        <v>17+1d8+2d8</v>
      </c>
      <c r="F25" s="16" t="str">
        <f>$M$12+IF($I15="光輝",3,0)+$I$7+5&amp;"+"&amp;$I$12&amp;"d"&amp;$K$12&amp;"+"&amp;$I$14&amp;"d"&amp;$K$14&amp;IF($I$5=1," ★","")</f>
        <v>17+1d8+2d8</v>
      </c>
      <c r="G25" s="66" t="str">
        <f>$M$12+IF($I15="光輝",3,0)+$I$7+5&amp;"+"&amp;$I$12&amp;"d"&amp;$K$12&amp;"+"&amp;$I$14&amp;"d"&amp;$K$14&amp;IF($I$5=1," ★","")</f>
        <v>17+1d8+2d8</v>
      </c>
      <c r="I25"/>
      <c r="J25"/>
      <c r="K25"/>
    </row>
    <row r="26" spans="1:11" ht="24" customHeight="1">
      <c r="A26" s="181"/>
      <c r="B26" s="141" t="s">
        <v>6</v>
      </c>
      <c r="C26" s="13" t="str">
        <f>IF($I$15=0,"",$I$15)</f>
        <v>冷気</v>
      </c>
      <c r="D26" s="14" t="str">
        <f>($I$12*$K$12)+5+$M$12+IF($I15="光輝",3,0)+$I$7&amp;"+"&amp;$I$13&amp;"d"&amp;$K$13</f>
        <v>25+3d10</v>
      </c>
      <c r="E26" s="14" t="str">
        <f>($I$12*$K$12)+5+$M$12+IF($I15="光輝",3,0)+$I$7&amp;"+"&amp;$I$13&amp;"d"&amp;$K$13</f>
        <v>25+3d10</v>
      </c>
      <c r="F26" s="14" t="str">
        <f>($I$12*$K$12)+5+$M$12+IF($I15="光輝",3,0)+$I$7&amp;"+"&amp;$I$13&amp;"d"&amp;$K$13&amp;IF($I$5=1," ★","")</f>
        <v>25+3d10</v>
      </c>
      <c r="G26" s="67" t="str">
        <f>($I$12*$K$12)+5+$M$12+IF($I15="光輝",3,0)+$I$7&amp;"+"&amp;$I$13&amp;"d"&amp;$K$13&amp;IF($I$5=1," ★","")</f>
        <v>25+3d10</v>
      </c>
      <c r="I26"/>
      <c r="J26"/>
      <c r="K26"/>
    </row>
    <row r="27" spans="1:11" ht="24" customHeight="1" thickBot="1">
      <c r="A27" s="182"/>
      <c r="B27" s="142"/>
      <c r="C27" s="18" t="s">
        <v>2</v>
      </c>
      <c r="D27" s="15" t="str">
        <f>($I$12*$K$12)+5+$M$12+IF($I15="光輝",3,0)+$I$7+($I$14*$K$14)&amp;"+"&amp;$I$13&amp;"d"&amp;$K$13</f>
        <v>41+3d10</v>
      </c>
      <c r="E27" s="15" t="str">
        <f>($I$12*$K$12)+5+$M$12+IF($I15="光輝",3,0)+$I$7+($I$14*$K$14)&amp;"+"&amp;$I$13&amp;"d"&amp;$K$13</f>
        <v>41+3d10</v>
      </c>
      <c r="F27" s="15" t="str">
        <f>($I$12*$K$12)+5+$M$12+IF($I15="光輝",3,0)+$I$7+($I$14*$K$14)&amp;"+"&amp;$I$13&amp;"d"&amp;$K$13&amp;IF($I$5=1," ★","")</f>
        <v>41+3d10</v>
      </c>
      <c r="G27" s="68" t="str">
        <f>($I$12*$K$12)+5+$M$12+IF($I15="光輝",3,0)+$I$7+($I$14*$K$14)&amp;"+"&amp;$I$13&amp;"d"&amp;$K$13&amp;IF($I$5=1," ★","")</f>
        <v>41+3d10</v>
      </c>
      <c r="I27"/>
      <c r="J27"/>
      <c r="K27"/>
    </row>
    <row r="28" spans="1:11" ht="13.5">
      <c r="A28" s="118"/>
      <c r="B28" s="118"/>
      <c r="C28" s="118"/>
      <c r="D28" s="118"/>
      <c r="E28" s="118"/>
      <c r="F28" s="118"/>
      <c r="G28" s="118"/>
      <c r="I28"/>
      <c r="J28"/>
      <c r="K28"/>
    </row>
    <row r="29" spans="1:7" ht="13.5">
      <c r="A29" s="172" t="s">
        <v>238</v>
      </c>
      <c r="B29" s="172"/>
      <c r="C29" s="172"/>
      <c r="D29" s="172"/>
      <c r="E29" s="172"/>
      <c r="F29" s="172"/>
      <c r="G29" s="172"/>
    </row>
    <row r="30" spans="1:7" ht="13.5">
      <c r="A30" s="171" t="s">
        <v>239</v>
      </c>
      <c r="B30" s="171"/>
      <c r="C30" s="171"/>
      <c r="D30" s="171"/>
      <c r="E30" s="171"/>
      <c r="F30" s="171"/>
      <c r="G30" s="171"/>
    </row>
    <row r="31" spans="1:7" ht="13.5">
      <c r="A31" s="171" t="s">
        <v>237</v>
      </c>
      <c r="B31" s="171"/>
      <c r="C31" s="171"/>
      <c r="D31" s="171"/>
      <c r="E31" s="171"/>
      <c r="F31" s="171"/>
      <c r="G31" s="171"/>
    </row>
    <row r="32" spans="1:7" ht="8.25" customHeight="1">
      <c r="A32" s="122"/>
      <c r="B32" s="122"/>
      <c r="C32" s="122"/>
      <c r="D32" s="122"/>
      <c r="E32" s="122"/>
      <c r="F32" s="122"/>
      <c r="G32" s="122"/>
    </row>
    <row r="33" spans="1:11" ht="13.5">
      <c r="A33" s="172" t="s">
        <v>196</v>
      </c>
      <c r="B33" s="172"/>
      <c r="C33" s="172"/>
      <c r="D33" s="172"/>
      <c r="E33" s="172"/>
      <c r="F33" s="172"/>
      <c r="G33" s="172"/>
      <c r="I33"/>
      <c r="J33"/>
      <c r="K33"/>
    </row>
    <row r="34" spans="1:7" ht="17.25">
      <c r="A34" s="171" t="s">
        <v>197</v>
      </c>
      <c r="B34" s="171"/>
      <c r="C34" s="171"/>
      <c r="D34" s="171"/>
      <c r="E34" s="171"/>
      <c r="F34" s="171"/>
      <c r="G34" s="171"/>
    </row>
    <row r="35" spans="1:7" ht="17.25">
      <c r="A35" s="144" t="s">
        <v>198</v>
      </c>
      <c r="B35" s="144"/>
      <c r="C35" s="144"/>
      <c r="D35" s="144"/>
      <c r="E35" s="144"/>
      <c r="F35" s="144"/>
      <c r="G35" s="144"/>
    </row>
    <row r="36" spans="1:7" ht="13.5">
      <c r="A36" s="149"/>
      <c r="B36" s="149"/>
      <c r="C36" s="149"/>
      <c r="D36" s="149"/>
      <c r="E36" s="149"/>
      <c r="F36" s="149"/>
      <c r="G36" s="149"/>
    </row>
    <row r="37" spans="1:7" ht="13.5">
      <c r="A37" s="177" t="s">
        <v>83</v>
      </c>
      <c r="B37" s="178"/>
      <c r="C37" s="178"/>
      <c r="D37" s="178"/>
      <c r="E37" s="178"/>
      <c r="F37" s="178"/>
      <c r="G37" s="179"/>
    </row>
    <row r="38" spans="1:7" ht="13.5">
      <c r="A38" s="146"/>
      <c r="B38" s="144"/>
      <c r="C38" s="144"/>
      <c r="D38" s="144"/>
      <c r="E38" s="144"/>
      <c r="F38" s="144"/>
      <c r="G38" s="145"/>
    </row>
    <row r="39" spans="1:7" ht="13.5">
      <c r="A39" s="146" t="s">
        <v>202</v>
      </c>
      <c r="B39" s="144"/>
      <c r="C39" s="144"/>
      <c r="D39" s="144"/>
      <c r="E39" s="144"/>
      <c r="F39" s="144"/>
      <c r="G39" s="145"/>
    </row>
    <row r="40" spans="1:7" ht="13.5">
      <c r="A40" s="146" t="s">
        <v>168</v>
      </c>
      <c r="B40" s="144"/>
      <c r="C40" s="144"/>
      <c r="D40" s="144"/>
      <c r="E40" s="144"/>
      <c r="F40" s="144"/>
      <c r="G40" s="145"/>
    </row>
    <row r="41" spans="1:7" ht="13.5">
      <c r="A41" s="146" t="s">
        <v>240</v>
      </c>
      <c r="B41" s="144"/>
      <c r="C41" s="144"/>
      <c r="D41" s="144"/>
      <c r="E41" s="144"/>
      <c r="F41" s="144"/>
      <c r="G41" s="145"/>
    </row>
    <row r="42" spans="1:7" ht="13.5">
      <c r="A42" s="146" t="s">
        <v>169</v>
      </c>
      <c r="B42" s="144"/>
      <c r="C42" s="144"/>
      <c r="D42" s="144"/>
      <c r="E42" s="144"/>
      <c r="F42" s="144"/>
      <c r="G42" s="145"/>
    </row>
    <row r="43" spans="1:7" ht="13.5">
      <c r="A43" s="146" t="s">
        <v>247</v>
      </c>
      <c r="B43" s="144"/>
      <c r="C43" s="144"/>
      <c r="D43" s="144"/>
      <c r="E43" s="144"/>
      <c r="F43" s="144"/>
      <c r="G43" s="145"/>
    </row>
    <row r="44" spans="1:7" ht="13.5">
      <c r="A44" s="146" t="s">
        <v>246</v>
      </c>
      <c r="B44" s="144"/>
      <c r="C44" s="144"/>
      <c r="D44" s="144"/>
      <c r="E44" s="144"/>
      <c r="F44" s="144"/>
      <c r="G44" s="145"/>
    </row>
    <row r="45" spans="1:7" ht="13.5">
      <c r="A45" s="146" t="s">
        <v>251</v>
      </c>
      <c r="B45" s="144"/>
      <c r="C45" s="144"/>
      <c r="D45" s="144"/>
      <c r="E45" s="144"/>
      <c r="F45" s="144"/>
      <c r="G45" s="145"/>
    </row>
    <row r="46" spans="1:7" ht="13.5">
      <c r="A46" s="119"/>
      <c r="B46" s="120"/>
      <c r="C46" s="120"/>
      <c r="D46" s="120"/>
      <c r="E46" s="120"/>
      <c r="F46" s="120"/>
      <c r="G46" s="121"/>
    </row>
    <row r="47" spans="1:7" ht="17.25">
      <c r="A47" s="200" t="s">
        <v>241</v>
      </c>
      <c r="B47" s="201"/>
      <c r="C47" s="201"/>
      <c r="D47" s="201"/>
      <c r="E47" s="201"/>
      <c r="F47" s="201"/>
      <c r="G47" s="202"/>
    </row>
    <row r="48" spans="1:7" ht="9" customHeight="1">
      <c r="A48" s="148"/>
      <c r="B48" s="149"/>
      <c r="C48" s="149"/>
      <c r="D48" s="149"/>
      <c r="E48" s="149"/>
      <c r="F48" s="149"/>
      <c r="G48" s="150"/>
    </row>
    <row r="49" spans="1:7" ht="21">
      <c r="A49" s="100" t="s">
        <v>43</v>
      </c>
      <c r="B49" s="101">
        <f>$B$1</f>
        <v>1</v>
      </c>
      <c r="C49" s="102" t="s">
        <v>60</v>
      </c>
      <c r="D49" s="103" t="str">
        <f>$E$1</f>
        <v>遭遇毎</v>
      </c>
      <c r="E49" s="187" t="str">
        <f>$B$2</f>
        <v>ドラゴンフロスト</v>
      </c>
      <c r="F49" s="188"/>
      <c r="G49" s="189"/>
    </row>
  </sheetData>
  <sheetProtection/>
  <mergeCells count="42">
    <mergeCell ref="A38:G38"/>
    <mergeCell ref="A39:G39"/>
    <mergeCell ref="A48:G48"/>
    <mergeCell ref="A41:G41"/>
    <mergeCell ref="A42:G42"/>
    <mergeCell ref="A43:G43"/>
    <mergeCell ref="A44:G44"/>
    <mergeCell ref="A45:G45"/>
    <mergeCell ref="A47:G47"/>
    <mergeCell ref="A40:G40"/>
    <mergeCell ref="A36:G36"/>
    <mergeCell ref="A37:G37"/>
    <mergeCell ref="B9:G9"/>
    <mergeCell ref="B10:G10"/>
    <mergeCell ref="B13:G13"/>
    <mergeCell ref="B14:G14"/>
    <mergeCell ref="B15:G15"/>
    <mergeCell ref="A33:G33"/>
    <mergeCell ref="A34:G34"/>
    <mergeCell ref="B11:G11"/>
    <mergeCell ref="B12:G12"/>
    <mergeCell ref="B24:B25"/>
    <mergeCell ref="B26:B27"/>
    <mergeCell ref="A29:G29"/>
    <mergeCell ref="A30:G30"/>
    <mergeCell ref="A31:G31"/>
    <mergeCell ref="B1:C1"/>
    <mergeCell ref="F1:G1"/>
    <mergeCell ref="B2:G2"/>
    <mergeCell ref="B4:G4"/>
    <mergeCell ref="B5:G5"/>
    <mergeCell ref="B6:D6"/>
    <mergeCell ref="A35:G35"/>
    <mergeCell ref="A23:A27"/>
    <mergeCell ref="B7:G7"/>
    <mergeCell ref="B8:G8"/>
    <mergeCell ref="E49:G49"/>
    <mergeCell ref="H11:H12"/>
    <mergeCell ref="A17:C17"/>
    <mergeCell ref="A18:A22"/>
    <mergeCell ref="B19:B20"/>
    <mergeCell ref="B21:B22"/>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5.xml><?xml version="1.0" encoding="utf-8"?>
<worksheet xmlns="http://schemas.openxmlformats.org/spreadsheetml/2006/main" xmlns:r="http://schemas.openxmlformats.org/officeDocument/2006/relationships">
  <sheetPr>
    <tabColor rgb="FFBC0000"/>
  </sheetPr>
  <dimension ref="A1:M52"/>
  <sheetViews>
    <sheetView zoomScalePageLayoutView="0" workbookViewId="0" topLeftCell="A35">
      <selection activeCell="A51" sqref="A51:G5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92" t="s">
        <v>43</v>
      </c>
      <c r="B1" s="209">
        <v>1</v>
      </c>
      <c r="C1" s="210"/>
      <c r="D1" s="93" t="s">
        <v>60</v>
      </c>
      <c r="E1" s="94" t="s">
        <v>107</v>
      </c>
      <c r="F1" s="211"/>
      <c r="G1" s="212"/>
      <c r="H1" s="34" t="s">
        <v>90</v>
      </c>
    </row>
    <row r="2" spans="1:8" ht="24.75" customHeight="1">
      <c r="A2" s="93" t="s">
        <v>0</v>
      </c>
      <c r="B2" s="213" t="s">
        <v>106</v>
      </c>
      <c r="C2" s="213"/>
      <c r="D2" s="213"/>
      <c r="E2" s="213"/>
      <c r="F2" s="213"/>
      <c r="G2" s="213"/>
      <c r="H2" s="34" t="s">
        <v>92</v>
      </c>
    </row>
    <row r="3" spans="1:9" ht="19.5" customHeight="1">
      <c r="A3" s="32" t="s">
        <v>82</v>
      </c>
      <c r="B3" s="1"/>
      <c r="C3" s="1"/>
      <c r="D3" s="1"/>
      <c r="I3" s="34" t="s">
        <v>79</v>
      </c>
    </row>
    <row r="4" spans="1:9" ht="13.5">
      <c r="A4" s="36" t="s">
        <v>80</v>
      </c>
      <c r="B4" s="153" t="s">
        <v>108</v>
      </c>
      <c r="C4" s="154"/>
      <c r="D4" s="154"/>
      <c r="E4" s="154"/>
      <c r="F4" s="154"/>
      <c r="G4" s="155"/>
      <c r="H4" s="22" t="s">
        <v>75</v>
      </c>
      <c r="I4" s="25">
        <v>1</v>
      </c>
    </row>
    <row r="5" spans="1:9" ht="13.5">
      <c r="A5" s="37" t="s">
        <v>57</v>
      </c>
      <c r="B5" s="153" t="s">
        <v>109</v>
      </c>
      <c r="C5" s="154"/>
      <c r="D5" s="154"/>
      <c r="E5" s="154"/>
      <c r="F5" s="154"/>
      <c r="G5" s="155"/>
      <c r="H5" s="22" t="s">
        <v>76</v>
      </c>
      <c r="I5" s="25">
        <v>1</v>
      </c>
    </row>
    <row r="6" spans="1:9" ht="13.5">
      <c r="A6" s="37" t="s">
        <v>11</v>
      </c>
      <c r="B6" s="153" t="s">
        <v>9</v>
      </c>
      <c r="C6" s="154"/>
      <c r="D6" s="155"/>
      <c r="E6" s="22" t="s">
        <v>96</v>
      </c>
      <c r="F6" s="55" t="str">
        <f>$I$8</f>
        <v>遠隔</v>
      </c>
      <c r="G6" s="45">
        <f>$J$8</f>
        <v>5</v>
      </c>
      <c r="H6" s="54" t="s">
        <v>139</v>
      </c>
      <c r="I6" s="53">
        <v>0</v>
      </c>
    </row>
    <row r="7" spans="1:9" ht="13.5">
      <c r="A7" s="38" t="s">
        <v>10</v>
      </c>
      <c r="B7" s="153" t="s">
        <v>13</v>
      </c>
      <c r="C7" s="154"/>
      <c r="D7" s="154"/>
      <c r="E7" s="154"/>
      <c r="F7" s="154"/>
      <c r="G7" s="155"/>
      <c r="H7" s="54" t="s">
        <v>140</v>
      </c>
      <c r="I7" s="53">
        <v>0</v>
      </c>
    </row>
    <row r="8" spans="1:10" ht="13.5">
      <c r="A8" s="38" t="s">
        <v>14</v>
      </c>
      <c r="B8" s="153" t="s">
        <v>110</v>
      </c>
      <c r="C8" s="154"/>
      <c r="D8" s="154"/>
      <c r="E8" s="154"/>
      <c r="F8" s="154"/>
      <c r="G8" s="155"/>
      <c r="H8" s="22" t="s">
        <v>70</v>
      </c>
      <c r="I8" s="25" t="s">
        <v>71</v>
      </c>
      <c r="J8" s="25">
        <v>5</v>
      </c>
    </row>
    <row r="9" spans="1:11" ht="13.5">
      <c r="A9" s="40" t="s">
        <v>16</v>
      </c>
      <c r="B9" s="156" t="s">
        <v>111</v>
      </c>
      <c r="C9" s="157"/>
      <c r="D9" s="157"/>
      <c r="E9" s="157"/>
      <c r="F9" s="157"/>
      <c r="G9" s="158"/>
      <c r="H9" s="3"/>
      <c r="I9" s="34" t="s">
        <v>91</v>
      </c>
      <c r="K9" s="34" t="s">
        <v>166</v>
      </c>
    </row>
    <row r="10" spans="1:13" ht="7.5" customHeight="1">
      <c r="A10" s="39"/>
      <c r="B10" s="146"/>
      <c r="C10" s="144"/>
      <c r="D10" s="144"/>
      <c r="E10" s="144"/>
      <c r="F10" s="144"/>
      <c r="G10" s="145"/>
      <c r="H10" s="22" t="s">
        <v>86</v>
      </c>
      <c r="I10" s="25" t="s">
        <v>27</v>
      </c>
      <c r="J10" s="25" t="s">
        <v>31</v>
      </c>
      <c r="K10" s="69">
        <f>IF($I$10="知力",'基本'!$K$36,'基本'!$K$18)</f>
        <v>6</v>
      </c>
      <c r="L10" s="22" t="s">
        <v>88</v>
      </c>
      <c r="M10" s="6">
        <f>IF($I$10="知力",'基本'!$G$34,'基本'!$G$16)</f>
        <v>18</v>
      </c>
    </row>
    <row r="11" spans="1:12" ht="13.5">
      <c r="A11" s="39"/>
      <c r="B11" s="146" t="s">
        <v>112</v>
      </c>
      <c r="C11" s="144"/>
      <c r="D11" s="144"/>
      <c r="E11" s="144"/>
      <c r="F11" s="144"/>
      <c r="G11" s="145"/>
      <c r="H11" s="151" t="s">
        <v>87</v>
      </c>
      <c r="I11" s="25" t="s">
        <v>27</v>
      </c>
      <c r="K11" s="69">
        <f>IF($I$11="知力",'基本'!$K$36,'基本'!$K$18)</f>
        <v>6</v>
      </c>
      <c r="L11" s="1"/>
    </row>
    <row r="12" spans="1:13" ht="13.5">
      <c r="A12" s="39"/>
      <c r="B12" s="146" t="s">
        <v>153</v>
      </c>
      <c r="C12" s="144"/>
      <c r="D12" s="144"/>
      <c r="E12" s="144"/>
      <c r="F12" s="144"/>
      <c r="G12" s="145"/>
      <c r="H12" s="152"/>
      <c r="I12" s="25">
        <v>2</v>
      </c>
      <c r="J12" s="22" t="s">
        <v>72</v>
      </c>
      <c r="K12" s="25">
        <v>8</v>
      </c>
      <c r="L12" s="22" t="s">
        <v>89</v>
      </c>
      <c r="M12" s="6">
        <f>IF($I$11="知力",'基本'!$H$36,'基本'!$H$18)</f>
        <v>12</v>
      </c>
    </row>
    <row r="13" spans="1:11" ht="10.5" customHeight="1">
      <c r="A13" s="39"/>
      <c r="B13" s="146"/>
      <c r="C13" s="144"/>
      <c r="D13" s="144"/>
      <c r="E13" s="144"/>
      <c r="F13" s="144"/>
      <c r="G13" s="145"/>
      <c r="H13" s="22" t="s">
        <v>85</v>
      </c>
      <c r="I13" s="6">
        <f>IF($I$11="知力",'基本'!$L$38,'基本'!$L$20)</f>
        <v>3</v>
      </c>
      <c r="J13" s="22" t="s">
        <v>72</v>
      </c>
      <c r="K13" s="6">
        <f>IF($I$11="知力",'基本'!$N$38,'基本'!$N$20)</f>
        <v>10</v>
      </c>
    </row>
    <row r="14" spans="1:11" ht="2.25" customHeight="1">
      <c r="A14" s="39"/>
      <c r="B14" s="146"/>
      <c r="C14" s="144"/>
      <c r="D14" s="144"/>
      <c r="E14" s="144"/>
      <c r="F14" s="144"/>
      <c r="G14" s="145"/>
      <c r="H14" s="22" t="s">
        <v>93</v>
      </c>
      <c r="I14" s="6">
        <f>'基本'!$B$21</f>
        <v>2</v>
      </c>
      <c r="J14" s="22" t="s">
        <v>72</v>
      </c>
      <c r="K14" s="6">
        <f>'基本'!$D$21</f>
        <v>8</v>
      </c>
    </row>
    <row r="15" spans="1:9" ht="2.25" customHeight="1">
      <c r="A15" s="41"/>
      <c r="B15" s="148"/>
      <c r="C15" s="149"/>
      <c r="D15" s="149"/>
      <c r="E15" s="149"/>
      <c r="F15" s="149"/>
      <c r="G15" s="150"/>
      <c r="H15" s="54" t="s">
        <v>141</v>
      </c>
      <c r="I15" s="26" t="s">
        <v>142</v>
      </c>
    </row>
    <row r="16" spans="1:5" ht="14.25" thickBot="1">
      <c r="A16" s="33" t="s">
        <v>81</v>
      </c>
      <c r="E16" s="4"/>
    </row>
    <row r="17" spans="1:7" ht="18.75" customHeight="1" thickBot="1">
      <c r="A17" s="206" t="str">
        <f>$B$2</f>
        <v>グロウ・オヴ・ウルバン</v>
      </c>
      <c r="B17" s="207"/>
      <c r="C17" s="208"/>
      <c r="D17" s="7" t="s">
        <v>4</v>
      </c>
      <c r="E17" s="70" t="s">
        <v>3</v>
      </c>
      <c r="F17" s="71" t="s">
        <v>58</v>
      </c>
      <c r="G17" s="17" t="s">
        <v>59</v>
      </c>
    </row>
    <row r="18" spans="1:7" ht="38.25" customHeight="1">
      <c r="A18" s="166" t="s">
        <v>1</v>
      </c>
      <c r="B18" s="8" t="s">
        <v>68</v>
      </c>
      <c r="C18" s="35" t="str">
        <f>$J$10</f>
        <v>意志</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光輝</v>
      </c>
      <c r="D19" s="11" t="str">
        <f>$M$12+IF($I15="光輝",3,0)+$I$7&amp;"+"&amp;$I$12&amp;"d"&amp;$K$12</f>
        <v>15+2d8</v>
      </c>
      <c r="E19" s="11" t="str">
        <f>$M$12+IF($I15="光輝",3,0)+$I$7&amp;"+"&amp;$I$12&amp;"d"&amp;$K$12</f>
        <v>15+2d8</v>
      </c>
      <c r="F19" s="11" t="str">
        <f>$M$12+IF($I15="光輝",3,0)+$I$7&amp;"+"&amp;$I$12&amp;"d"&amp;$K$12&amp;IF($I$5=1," ★","")</f>
        <v>15+2d8 ★</v>
      </c>
      <c r="G19" s="65" t="str">
        <f>$M$12+IF($I15="光輝",3,0)+$I$7&amp;"+"&amp;$I$12&amp;"d"&amp;$K$12&amp;IF($I$5=1," ★","")</f>
        <v>15+2d8 ★</v>
      </c>
    </row>
    <row r="20" spans="1:11" ht="24.75" customHeight="1">
      <c r="A20" s="167"/>
      <c r="B20" s="170"/>
      <c r="C20" s="19" t="s">
        <v>2</v>
      </c>
      <c r="D20" s="16" t="str">
        <f>$M$12+IF($I15="光輝",3,0)+$I$7&amp;"+"&amp;$I$12&amp;"d"&amp;$K$12&amp;"+"&amp;$I$14&amp;"d"&amp;$K$14</f>
        <v>15+2d8+2d8</v>
      </c>
      <c r="E20" s="16" t="str">
        <f>$M$12+IF($I15="光輝",3,0)+$I$7&amp;"+"&amp;$I$12&amp;"d"&amp;$K$12&amp;"+"&amp;$I$14&amp;"d"&amp;$K$14</f>
        <v>15+2d8+2d8</v>
      </c>
      <c r="F20" s="16" t="str">
        <f>$M$12+IF($I15="光輝",3,0)+$I$7&amp;"+"&amp;$I$12&amp;"d"&amp;$K$12&amp;"+"&amp;$I$14&amp;"d"&amp;$K$14&amp;IF($I$5=1," ★","")</f>
        <v>15+2d8+2d8 ★</v>
      </c>
      <c r="G20" s="66" t="str">
        <f>$M$12+IF($I15="光輝",3,0)+$I$7&amp;"+"&amp;$I$12&amp;"d"&amp;$K$12&amp;"+"&amp;$I$14&amp;"d"&amp;$K$14&amp;IF($I$5=1," ★","")</f>
        <v>15+2d8+2d8 ★</v>
      </c>
      <c r="I20"/>
      <c r="J20"/>
      <c r="K20"/>
    </row>
    <row r="21" spans="1:11" ht="24.75" customHeight="1">
      <c r="A21" s="167"/>
      <c r="B21" s="141" t="s">
        <v>6</v>
      </c>
      <c r="C21" s="13" t="str">
        <f>IF($I$15=0,"",$I$15)</f>
        <v>光輝</v>
      </c>
      <c r="D21" s="14" t="str">
        <f>($I$12*$K$12)+$M$12+IF($I15="光輝",3,0)+$I$7&amp;"+"&amp;$I$13&amp;"d"&amp;$K$13</f>
        <v>31+3d10</v>
      </c>
      <c r="E21" s="14" t="str">
        <f>($I$12*$K$12)+$M$12+IF($I15="光輝",3,0)+$I$7&amp;"+"&amp;$I$13&amp;"d"&amp;$K$13</f>
        <v>31+3d10</v>
      </c>
      <c r="F21" s="14" t="str">
        <f>($I$12*$K$12)+$M$12+IF($I15="光輝",3,0)+$I$7&amp;"+"&amp;$I$13&amp;"d"&amp;$K$13&amp;IF($I$5=1," ★","")</f>
        <v>31+3d10 ★</v>
      </c>
      <c r="G21" s="67" t="str">
        <f>($I$12*$K$12)+$M$12+IF($I15="光輝",3,0)+$I$7&amp;"+"&amp;$I$13&amp;"d"&amp;$K$13&amp;IF($I$5=1," ★","")</f>
        <v>31+3d10 ★</v>
      </c>
      <c r="I21"/>
      <c r="J21"/>
      <c r="K21"/>
    </row>
    <row r="22" spans="1:11" ht="24.75" customHeight="1" thickBot="1">
      <c r="A22" s="168"/>
      <c r="B22" s="142"/>
      <c r="C22" s="18" t="s">
        <v>2</v>
      </c>
      <c r="D22" s="15" t="str">
        <f>($I$12*$K$12)+$M$12+IF($I15="光輝",3,0)+$I$7+($I$14*$K$14)&amp;"+"&amp;$I$13&amp;"d"&amp;$K$13</f>
        <v>47+3d10</v>
      </c>
      <c r="E22" s="15" t="str">
        <f>($I$12*$K$12)+$M$12+IF($I15="光輝",3,0)+$I$7+($I$14*$K$14)&amp;"+"&amp;$I$13&amp;"d"&amp;$K$13</f>
        <v>47+3d10</v>
      </c>
      <c r="F22" s="15" t="str">
        <f>($I$12*$K$12)+$M$12+IF($I15="光輝",3,0)+$I$7+($I$14*$K$14)&amp;"+"&amp;$I$13&amp;"d"&amp;$K$13&amp;IF($I$5=1," ★","")</f>
        <v>47+3d10 ★</v>
      </c>
      <c r="G22" s="68" t="str">
        <f>($I$12*$K$12)+$M$12+IF($I15="光輝",3,0)+$I$7+($I$14*$K$14)&amp;"+"&amp;$I$13&amp;"d"&amp;$K$13&amp;IF($I$5=1," ★","")</f>
        <v>47+3d10 ★</v>
      </c>
      <c r="I22"/>
      <c r="J22"/>
      <c r="K22"/>
    </row>
    <row r="23" spans="1:11" ht="38.25" customHeight="1">
      <c r="A23" s="180" t="s">
        <v>5</v>
      </c>
      <c r="B23" s="8" t="s">
        <v>68</v>
      </c>
      <c r="C23" s="35" t="str">
        <f>$J$10</f>
        <v>意志</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光輝</v>
      </c>
      <c r="D24" s="11" t="str">
        <f>$M$12+IF($I15="光輝",3,0)+$I$7+5&amp;"+"&amp;$I$12&amp;$J$12&amp;$K$12</f>
        <v>20+2d8</v>
      </c>
      <c r="E24" s="11" t="str">
        <f>$M$12+IF($I15="光輝",3,0)+$I$7+5&amp;"+"&amp;$I$12&amp;$J$12&amp;$K$12</f>
        <v>20+2d8</v>
      </c>
      <c r="F24" s="11" t="str">
        <f>$M$12+IF($I15="光輝",3,0)+$I$7+5&amp;"+"&amp;$I$12&amp;$J$12&amp;$K$12&amp;IF($I$5=1," ★","")</f>
        <v>20+2d8 ★</v>
      </c>
      <c r="G24" s="65" t="str">
        <f>$M$12+IF($I15="光輝",3,0)+$I$7+5&amp;"+"&amp;$I$12&amp;$J$12&amp;$K$12&amp;IF($I$5=1," ★","")</f>
        <v>20+2d8 ★</v>
      </c>
      <c r="I24"/>
      <c r="J24"/>
      <c r="K24"/>
    </row>
    <row r="25" spans="1:11" ht="24" customHeight="1">
      <c r="A25" s="181"/>
      <c r="B25" s="170"/>
      <c r="C25" s="19" t="s">
        <v>2</v>
      </c>
      <c r="D25" s="16" t="str">
        <f>$M$12+IF($I15="光輝",3,0)+$I$7+5&amp;"+"&amp;$I$12&amp;"d"&amp;$K$12&amp;"+"&amp;$I$14&amp;"d"&amp;$K$14</f>
        <v>20+2d8+2d8</v>
      </c>
      <c r="E25" s="16" t="str">
        <f>$M$12+IF($I15="光輝",3,0)+$I$7+5&amp;"+"&amp;$I$12&amp;"d"&amp;$K$12&amp;"+"&amp;$I$14&amp;"d"&amp;$K$14</f>
        <v>20+2d8+2d8</v>
      </c>
      <c r="F25" s="16" t="str">
        <f>$M$12+IF($I15="光輝",3,0)+$I$7+5&amp;"+"&amp;$I$12&amp;"d"&amp;$K$12&amp;"+"&amp;$I$14&amp;"d"&amp;$K$14&amp;IF($I$5=1," ★","")</f>
        <v>20+2d8+2d8 ★</v>
      </c>
      <c r="G25" s="66" t="str">
        <f>$M$12+IF($I15="光輝",3,0)+$I$7+5&amp;"+"&amp;$I$12&amp;"d"&amp;$K$12&amp;"+"&amp;$I$14&amp;"d"&amp;$K$14&amp;IF($I$5=1," ★","")</f>
        <v>20+2d8+2d8 ★</v>
      </c>
      <c r="I25"/>
      <c r="J25"/>
      <c r="K25"/>
    </row>
    <row r="26" spans="1:11" ht="24" customHeight="1">
      <c r="A26" s="181"/>
      <c r="B26" s="141" t="s">
        <v>6</v>
      </c>
      <c r="C26" s="13" t="str">
        <f>IF($I$15=0,"",$I$15)</f>
        <v>光輝</v>
      </c>
      <c r="D26" s="14" t="str">
        <f>($I$12*$K$12)+5+$M$12+IF($I15="光輝",3,0)+$I$7&amp;"+"&amp;$I$13&amp;"d"&amp;$K$13</f>
        <v>36+3d10</v>
      </c>
      <c r="E26" s="14" t="str">
        <f>($I$12*$K$12)+5+$M$12+IF($I15="光輝",3,0)+$I$7&amp;"+"&amp;$I$13&amp;"d"&amp;$K$13</f>
        <v>36+3d10</v>
      </c>
      <c r="F26" s="14" t="str">
        <f>($I$12*$K$12)+5+$M$12+IF($I15="光輝",3,0)+$I$7&amp;"+"&amp;$I$13&amp;"d"&amp;$K$13&amp;IF($I$5=1," ★","")</f>
        <v>36+3d10 ★</v>
      </c>
      <c r="G26" s="67" t="str">
        <f>($I$12*$K$12)+5+$M$12+IF($I15="光輝",3,0)+$I$7&amp;"+"&amp;$I$13&amp;"d"&amp;$K$13&amp;IF($I$5=1," ★","")</f>
        <v>36+3d10 ★</v>
      </c>
      <c r="I26"/>
      <c r="J26"/>
      <c r="K26"/>
    </row>
    <row r="27" spans="1:11" ht="24" customHeight="1" thickBot="1">
      <c r="A27" s="182"/>
      <c r="B27" s="142"/>
      <c r="C27" s="18" t="s">
        <v>2</v>
      </c>
      <c r="D27" s="15" t="str">
        <f>($I$12*$K$12)+5+$M$12+IF($I15="光輝",3,0)+$I$7+($I$14*$K$14)&amp;"+"&amp;$I$13&amp;"d"&amp;$K$13</f>
        <v>52+3d10</v>
      </c>
      <c r="E27" s="15" t="str">
        <f>($I$12*$K$12)+5+$M$12+IF($I15="光輝",3,0)+$I$7+($I$14*$K$14)&amp;"+"&amp;$I$13&amp;"d"&amp;$K$13</f>
        <v>52+3d10</v>
      </c>
      <c r="F27" s="15" t="str">
        <f>($I$12*$K$12)+5+$M$12+IF($I15="光輝",3,0)+$I$7+($I$14*$K$14)&amp;"+"&amp;$I$13&amp;"d"&amp;$K$13&amp;IF($I$5=1," ★","")</f>
        <v>52+3d10 ★</v>
      </c>
      <c r="G27" s="68" t="str">
        <f>($I$12*$K$12)+5+$M$12+IF($I15="光輝",3,0)+$I$7+($I$14*$K$14)&amp;"+"&amp;$I$13&amp;"d"&amp;$K$13&amp;IF($I$5=1," ★","")</f>
        <v>52+3d10 ★</v>
      </c>
      <c r="I27"/>
      <c r="J27"/>
      <c r="K27"/>
    </row>
    <row r="28" spans="1:11" ht="24"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7" ht="12" customHeight="1">
      <c r="A41" s="120"/>
      <c r="B41" s="120"/>
      <c r="C41" s="120"/>
      <c r="D41" s="120"/>
      <c r="E41" s="120"/>
      <c r="F41" s="120"/>
      <c r="G41" s="120"/>
    </row>
    <row r="42" spans="1:7" ht="13.5">
      <c r="A42" s="177" t="s">
        <v>83</v>
      </c>
      <c r="B42" s="178"/>
      <c r="C42" s="178"/>
      <c r="D42" s="178"/>
      <c r="E42" s="178"/>
      <c r="F42" s="178"/>
      <c r="G42" s="179"/>
    </row>
    <row r="43" spans="1:7" ht="8.25" customHeight="1">
      <c r="A43" s="146"/>
      <c r="B43" s="144"/>
      <c r="C43" s="144"/>
      <c r="D43" s="144"/>
      <c r="E43" s="144"/>
      <c r="F43" s="144"/>
      <c r="G43" s="145"/>
    </row>
    <row r="44" spans="1:7" ht="13.5">
      <c r="A44" s="146" t="s">
        <v>248</v>
      </c>
      <c r="B44" s="144"/>
      <c r="C44" s="144"/>
      <c r="D44" s="144"/>
      <c r="E44" s="144"/>
      <c r="F44" s="144"/>
      <c r="G44" s="145"/>
    </row>
    <row r="45" spans="1:7" ht="13.5">
      <c r="A45" s="146" t="s">
        <v>249</v>
      </c>
      <c r="B45" s="144"/>
      <c r="C45" s="144"/>
      <c r="D45" s="144"/>
      <c r="E45" s="144"/>
      <c r="F45" s="144"/>
      <c r="G45" s="145"/>
    </row>
    <row r="46" spans="1:7" ht="13.5">
      <c r="A46" s="146" t="s">
        <v>203</v>
      </c>
      <c r="B46" s="144"/>
      <c r="C46" s="144"/>
      <c r="D46" s="144"/>
      <c r="E46" s="144"/>
      <c r="F46" s="144"/>
      <c r="G46" s="145"/>
    </row>
    <row r="47" spans="1:7" ht="13.5">
      <c r="A47" s="146" t="s">
        <v>170</v>
      </c>
      <c r="B47" s="144"/>
      <c r="C47" s="144"/>
      <c r="D47" s="144"/>
      <c r="E47" s="144"/>
      <c r="F47" s="144"/>
      <c r="G47" s="145"/>
    </row>
    <row r="48" spans="1:7" ht="13.5">
      <c r="A48" s="146" t="s">
        <v>252</v>
      </c>
      <c r="B48" s="144"/>
      <c r="C48" s="144"/>
      <c r="D48" s="144"/>
      <c r="E48" s="144"/>
      <c r="F48" s="144"/>
      <c r="G48" s="145"/>
    </row>
    <row r="49" spans="1:7" ht="13.5">
      <c r="A49" s="146" t="s">
        <v>253</v>
      </c>
      <c r="B49" s="144"/>
      <c r="C49" s="144"/>
      <c r="D49" s="144"/>
      <c r="E49" s="144"/>
      <c r="F49" s="144"/>
      <c r="G49" s="145"/>
    </row>
    <row r="50" spans="1:7" ht="13.5">
      <c r="A50" s="146" t="s">
        <v>259</v>
      </c>
      <c r="B50" s="144"/>
      <c r="C50" s="144"/>
      <c r="D50" s="144"/>
      <c r="E50" s="144"/>
      <c r="F50" s="144"/>
      <c r="G50" s="145"/>
    </row>
    <row r="51" spans="1:7" ht="6.75" customHeight="1">
      <c r="A51" s="148"/>
      <c r="B51" s="149"/>
      <c r="C51" s="149"/>
      <c r="D51" s="149"/>
      <c r="E51" s="149"/>
      <c r="F51" s="149"/>
      <c r="G51" s="150"/>
    </row>
    <row r="52" spans="1:7" ht="21">
      <c r="A52" s="88" t="s">
        <v>43</v>
      </c>
      <c r="B52" s="89">
        <f>$B$1</f>
        <v>1</v>
      </c>
      <c r="C52" s="90" t="s">
        <v>60</v>
      </c>
      <c r="D52" s="91" t="str">
        <f>$E$1</f>
        <v>遭遇毎</v>
      </c>
      <c r="E52" s="203" t="str">
        <f>$B$2</f>
        <v>グロウ・オヴ・ウルバン</v>
      </c>
      <c r="F52" s="204"/>
      <c r="G52" s="205"/>
    </row>
  </sheetData>
  <sheetProtection/>
  <mergeCells count="45">
    <mergeCell ref="A51:G51"/>
    <mergeCell ref="A48:G48"/>
    <mergeCell ref="A49:G49"/>
    <mergeCell ref="A50:G50"/>
    <mergeCell ref="A45:G45"/>
    <mergeCell ref="A43:G43"/>
    <mergeCell ref="A39:G39"/>
    <mergeCell ref="A33:G33"/>
    <mergeCell ref="A34:G34"/>
    <mergeCell ref="A35:G35"/>
    <mergeCell ref="A36:G36"/>
    <mergeCell ref="A38:G38"/>
    <mergeCell ref="B7:G7"/>
    <mergeCell ref="B8:G8"/>
    <mergeCell ref="A46:G46"/>
    <mergeCell ref="A47:G47"/>
    <mergeCell ref="B10:G10"/>
    <mergeCell ref="B13:G13"/>
    <mergeCell ref="B14:G14"/>
    <mergeCell ref="B15:G15"/>
    <mergeCell ref="A23:A27"/>
    <mergeCell ref="A44:G44"/>
    <mergeCell ref="B1:C1"/>
    <mergeCell ref="F1:G1"/>
    <mergeCell ref="B2:G2"/>
    <mergeCell ref="B4:G4"/>
    <mergeCell ref="B5:G5"/>
    <mergeCell ref="B6:D6"/>
    <mergeCell ref="H11:H12"/>
    <mergeCell ref="A17:C17"/>
    <mergeCell ref="A18:A22"/>
    <mergeCell ref="B19:B20"/>
    <mergeCell ref="B21:B22"/>
    <mergeCell ref="B11:G11"/>
    <mergeCell ref="B12:G12"/>
    <mergeCell ref="B9:G9"/>
    <mergeCell ref="A28:G28"/>
    <mergeCell ref="A29:G29"/>
    <mergeCell ref="A31:G31"/>
    <mergeCell ref="E52:G52"/>
    <mergeCell ref="B24:B25"/>
    <mergeCell ref="B26:B27"/>
    <mergeCell ref="A42:G42"/>
    <mergeCell ref="A40:G40"/>
    <mergeCell ref="A32:G32"/>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6.xml><?xml version="1.0" encoding="utf-8"?>
<worksheet xmlns="http://schemas.openxmlformats.org/spreadsheetml/2006/main" xmlns:r="http://schemas.openxmlformats.org/officeDocument/2006/relationships">
  <sheetPr>
    <tabColor rgb="FFBC0000"/>
  </sheetPr>
  <dimension ref="A1:M53"/>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92" t="s">
        <v>43</v>
      </c>
      <c r="B1" s="209">
        <v>7</v>
      </c>
      <c r="C1" s="210"/>
      <c r="D1" s="93" t="s">
        <v>60</v>
      </c>
      <c r="E1" s="94" t="s">
        <v>107</v>
      </c>
      <c r="F1" s="211"/>
      <c r="G1" s="212"/>
      <c r="H1" s="34" t="s">
        <v>90</v>
      </c>
    </row>
    <row r="2" spans="1:8" ht="24.75" customHeight="1">
      <c r="A2" s="93" t="s">
        <v>0</v>
      </c>
      <c r="B2" s="213" t="s">
        <v>274</v>
      </c>
      <c r="C2" s="213"/>
      <c r="D2" s="213"/>
      <c r="E2" s="213"/>
      <c r="F2" s="213"/>
      <c r="G2" s="213"/>
      <c r="H2" s="34" t="s">
        <v>92</v>
      </c>
    </row>
    <row r="3" spans="1:9" ht="19.5" customHeight="1">
      <c r="A3" s="32" t="s">
        <v>82</v>
      </c>
      <c r="B3" s="1"/>
      <c r="C3" s="1"/>
      <c r="D3" s="1"/>
      <c r="I3" s="34" t="s">
        <v>79</v>
      </c>
    </row>
    <row r="4" spans="1:9" ht="13.5">
      <c r="A4" s="36" t="s">
        <v>80</v>
      </c>
      <c r="B4" s="153" t="s">
        <v>128</v>
      </c>
      <c r="C4" s="154"/>
      <c r="D4" s="154"/>
      <c r="E4" s="154"/>
      <c r="F4" s="154"/>
      <c r="G4" s="155"/>
      <c r="H4" s="22" t="s">
        <v>75</v>
      </c>
      <c r="I4" s="25">
        <v>1</v>
      </c>
    </row>
    <row r="5" spans="1:9" ht="13.5">
      <c r="A5" s="37" t="s">
        <v>57</v>
      </c>
      <c r="B5" s="153" t="s">
        <v>129</v>
      </c>
      <c r="C5" s="154"/>
      <c r="D5" s="154"/>
      <c r="E5" s="154"/>
      <c r="F5" s="154"/>
      <c r="G5" s="155"/>
      <c r="H5" s="22" t="s">
        <v>76</v>
      </c>
      <c r="I5" s="25">
        <v>1</v>
      </c>
    </row>
    <row r="6" spans="1:9" ht="13.5">
      <c r="A6" s="37" t="s">
        <v>11</v>
      </c>
      <c r="B6" s="153" t="s">
        <v>9</v>
      </c>
      <c r="C6" s="154"/>
      <c r="D6" s="155"/>
      <c r="E6" s="22" t="s">
        <v>96</v>
      </c>
      <c r="F6" s="55" t="str">
        <f>$I$8</f>
        <v>遠隔</v>
      </c>
      <c r="G6" s="55">
        <f>$J$8</f>
        <v>10</v>
      </c>
      <c r="H6" s="54" t="s">
        <v>139</v>
      </c>
      <c r="I6" s="53">
        <v>0</v>
      </c>
    </row>
    <row r="7" spans="1:9" ht="13.5">
      <c r="A7" s="38" t="s">
        <v>10</v>
      </c>
      <c r="B7" s="153" t="s">
        <v>13</v>
      </c>
      <c r="C7" s="154"/>
      <c r="D7" s="154"/>
      <c r="E7" s="154"/>
      <c r="F7" s="154"/>
      <c r="G7" s="155"/>
      <c r="H7" s="54" t="s">
        <v>140</v>
      </c>
      <c r="I7" s="53">
        <v>0</v>
      </c>
    </row>
    <row r="8" spans="1:10" ht="13.5">
      <c r="A8" s="38" t="s">
        <v>14</v>
      </c>
      <c r="B8" s="153" t="s">
        <v>130</v>
      </c>
      <c r="C8" s="154"/>
      <c r="D8" s="154"/>
      <c r="E8" s="154"/>
      <c r="F8" s="154"/>
      <c r="G8" s="155"/>
      <c r="H8" s="22" t="s">
        <v>70</v>
      </c>
      <c r="I8" s="25" t="s">
        <v>71</v>
      </c>
      <c r="J8" s="25">
        <v>10</v>
      </c>
    </row>
    <row r="9" spans="1:11" ht="13.5">
      <c r="A9" s="40" t="s">
        <v>16</v>
      </c>
      <c r="B9" s="156" t="s">
        <v>131</v>
      </c>
      <c r="C9" s="157"/>
      <c r="D9" s="157"/>
      <c r="E9" s="157"/>
      <c r="F9" s="157"/>
      <c r="G9" s="158"/>
      <c r="H9" s="3"/>
      <c r="I9" s="34" t="s">
        <v>91</v>
      </c>
      <c r="K9" s="34" t="s">
        <v>166</v>
      </c>
    </row>
    <row r="10" spans="1:13" ht="13.5">
      <c r="A10" s="39"/>
      <c r="B10" s="146" t="s">
        <v>155</v>
      </c>
      <c r="C10" s="144"/>
      <c r="D10" s="144"/>
      <c r="E10" s="144"/>
      <c r="F10" s="144"/>
      <c r="G10" s="145"/>
      <c r="H10" s="22" t="s">
        <v>86</v>
      </c>
      <c r="I10" s="25" t="s">
        <v>27</v>
      </c>
      <c r="J10" s="25" t="s">
        <v>31</v>
      </c>
      <c r="K10" s="69">
        <f>IF($I$10="知力",'基本'!$K$36,'基本'!$K$18)</f>
        <v>6</v>
      </c>
      <c r="L10" s="22" t="s">
        <v>88</v>
      </c>
      <c r="M10" s="6">
        <f>IF($I$10="知力",'基本'!$G$34,'基本'!$G$16)</f>
        <v>18</v>
      </c>
    </row>
    <row r="11" spans="1:12" ht="9.75" customHeight="1">
      <c r="A11" s="39"/>
      <c r="B11" s="146"/>
      <c r="C11" s="144"/>
      <c r="D11" s="144"/>
      <c r="E11" s="144"/>
      <c r="F11" s="144"/>
      <c r="G11" s="145"/>
      <c r="H11" s="151" t="s">
        <v>87</v>
      </c>
      <c r="I11" s="25" t="s">
        <v>27</v>
      </c>
      <c r="K11" s="69">
        <f>IF($I$11="知力",'基本'!$K$36,'基本'!$K$18)</f>
        <v>6</v>
      </c>
      <c r="L11" s="1"/>
    </row>
    <row r="12" spans="1:13" ht="13.5">
      <c r="A12" s="39"/>
      <c r="B12" s="146" t="s">
        <v>154</v>
      </c>
      <c r="C12" s="144"/>
      <c r="D12" s="144"/>
      <c r="E12" s="144"/>
      <c r="F12" s="144"/>
      <c r="G12" s="145"/>
      <c r="H12" s="152"/>
      <c r="I12" s="25">
        <v>1</v>
      </c>
      <c r="J12" s="22" t="s">
        <v>72</v>
      </c>
      <c r="K12" s="25">
        <v>6</v>
      </c>
      <c r="L12" s="22" t="s">
        <v>89</v>
      </c>
      <c r="M12" s="6">
        <f>IF($I$11="知力",'基本'!$H$36,'基本'!$H$18)</f>
        <v>12</v>
      </c>
    </row>
    <row r="13" spans="1:11" ht="5.25" customHeight="1">
      <c r="A13" s="39"/>
      <c r="B13" s="146"/>
      <c r="C13" s="144"/>
      <c r="D13" s="144"/>
      <c r="E13" s="144"/>
      <c r="F13" s="144"/>
      <c r="G13" s="145"/>
      <c r="H13" s="22" t="s">
        <v>85</v>
      </c>
      <c r="I13" s="6">
        <f>IF($I$11="知力",'基本'!$L$38,'基本'!$L$20)</f>
        <v>3</v>
      </c>
      <c r="J13" s="22" t="s">
        <v>72</v>
      </c>
      <c r="K13" s="6">
        <f>IF($I$11="知力",'基本'!$N$38,'基本'!$N$20)</f>
        <v>10</v>
      </c>
    </row>
    <row r="14" spans="1:11" ht="5.25" customHeight="1">
      <c r="A14" s="39"/>
      <c r="B14" s="146"/>
      <c r="C14" s="144"/>
      <c r="D14" s="144"/>
      <c r="E14" s="144"/>
      <c r="F14" s="144"/>
      <c r="G14" s="145"/>
      <c r="H14" s="22" t="s">
        <v>93</v>
      </c>
      <c r="I14" s="6">
        <f>'基本'!$B$21</f>
        <v>2</v>
      </c>
      <c r="J14" s="22" t="s">
        <v>72</v>
      </c>
      <c r="K14" s="6">
        <f>'基本'!$D$21</f>
        <v>8</v>
      </c>
    </row>
    <row r="15" spans="1:9" ht="5.25" customHeight="1">
      <c r="A15" s="41"/>
      <c r="B15" s="148"/>
      <c r="C15" s="149"/>
      <c r="D15" s="149"/>
      <c r="E15" s="149"/>
      <c r="F15" s="149"/>
      <c r="G15" s="150"/>
      <c r="H15" s="54" t="s">
        <v>141</v>
      </c>
      <c r="I15" s="26" t="s">
        <v>146</v>
      </c>
    </row>
    <row r="16" spans="1:5" ht="14.25" thickBot="1">
      <c r="A16" s="33" t="s">
        <v>81</v>
      </c>
      <c r="E16" s="4"/>
    </row>
    <row r="17" spans="1:7" ht="18.75" customHeight="1" thickBot="1">
      <c r="A17" s="214" t="str">
        <f>$B$2</f>
        <v>ファー・レルム・ファンタズム</v>
      </c>
      <c r="B17" s="215"/>
      <c r="C17" s="216"/>
      <c r="D17" s="7" t="s">
        <v>4</v>
      </c>
      <c r="E17" s="70" t="s">
        <v>3</v>
      </c>
      <c r="F17" s="71" t="s">
        <v>58</v>
      </c>
      <c r="G17" s="17" t="s">
        <v>59</v>
      </c>
    </row>
    <row r="18" spans="1:7" ht="38.25" customHeight="1">
      <c r="A18" s="166" t="s">
        <v>1</v>
      </c>
      <c r="B18" s="8" t="s">
        <v>68</v>
      </c>
      <c r="C18" s="35" t="str">
        <f>$J$10</f>
        <v>意志</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精神</v>
      </c>
      <c r="D19" s="11" t="str">
        <f>$M$12+IF($I15="光輝",3,0)+$I$7&amp;"+"&amp;$I$12&amp;"d"&amp;$K$12</f>
        <v>12+1d6</v>
      </c>
      <c r="E19" s="11" t="str">
        <f>$M$12+IF($I15="光輝",3,0)+$I$7&amp;"+"&amp;$I$12&amp;"d"&amp;$K$12</f>
        <v>12+1d6</v>
      </c>
      <c r="F19" s="11" t="str">
        <f>$M$12+IF($I15="光輝",3,0)+$I$7&amp;"+"&amp;$I$12&amp;"d"&amp;$K$12&amp;IF($I$5=1," ★","")</f>
        <v>12+1d6 ★</v>
      </c>
      <c r="G19" s="65" t="str">
        <f>$M$12+IF($I15="光輝",3,0)+$I$7&amp;"+"&amp;$I$12&amp;"d"&amp;$K$12&amp;IF($I$5=1," ★","")</f>
        <v>12+1d6 ★</v>
      </c>
    </row>
    <row r="20" spans="1:11" ht="24.75" customHeight="1">
      <c r="A20" s="167"/>
      <c r="B20" s="170"/>
      <c r="C20" s="19" t="s">
        <v>2</v>
      </c>
      <c r="D20" s="16" t="str">
        <f>$M$12+IF($I15="光輝",3,0)+$I$7&amp;"+"&amp;$I$12&amp;"d"&amp;$K$12&amp;"+"&amp;$I$14&amp;"d"&amp;$K$14</f>
        <v>12+1d6+2d8</v>
      </c>
      <c r="E20" s="16" t="str">
        <f>$M$12+IF($I15="光輝",3,0)+$I$7&amp;"+"&amp;$I$12&amp;"d"&amp;$K$12&amp;"+"&amp;$I$14&amp;"d"&amp;$K$14</f>
        <v>12+1d6+2d8</v>
      </c>
      <c r="F20" s="16" t="str">
        <f>$M$12+IF($I15="光輝",3,0)+$I$7&amp;"+"&amp;$I$12&amp;"d"&amp;$K$12&amp;"+"&amp;$I$14&amp;"d"&amp;$K$14&amp;IF($I$5=1," ★","")</f>
        <v>12+1d6+2d8 ★</v>
      </c>
      <c r="G20" s="66" t="str">
        <f>$M$12+IF($I15="光輝",3,0)+$I$7&amp;"+"&amp;$I$12&amp;"d"&amp;$K$12&amp;"+"&amp;$I$14&amp;"d"&amp;$K$14&amp;IF($I$5=1," ★","")</f>
        <v>12+1d6+2d8 ★</v>
      </c>
      <c r="I20"/>
      <c r="J20"/>
      <c r="K20"/>
    </row>
    <row r="21" spans="1:11" ht="24.75" customHeight="1">
      <c r="A21" s="167"/>
      <c r="B21" s="141" t="s">
        <v>6</v>
      </c>
      <c r="C21" s="13" t="str">
        <f>IF($I$15=0,"",$I$15)</f>
        <v>精神</v>
      </c>
      <c r="D21" s="14" t="str">
        <f>($I$12*$K$12)+$M$12+IF($I15="光輝",3,0)+$I$7&amp;"+"&amp;$I$13&amp;"d"&amp;$K$13</f>
        <v>18+3d10</v>
      </c>
      <c r="E21" s="14" t="str">
        <f>($I$12*$K$12)+$M$12+IF($I15="光輝",3,0)+$I$7&amp;"+"&amp;$I$13&amp;"d"&amp;$K$13</f>
        <v>18+3d10</v>
      </c>
      <c r="F21" s="14" t="str">
        <f>($I$12*$K$12)+$M$12+IF($I15="光輝",3,0)+$I$7&amp;"+"&amp;$I$13&amp;"d"&amp;$K$13&amp;IF($I$5=1," ★","")</f>
        <v>18+3d10 ★</v>
      </c>
      <c r="G21" s="67" t="str">
        <f>($I$12*$K$12)+$M$12+IF($I15="光輝",3,0)+$I$7&amp;"+"&amp;$I$13&amp;"d"&amp;$K$13&amp;IF($I$5=1," ★","")</f>
        <v>18+3d10 ★</v>
      </c>
      <c r="I21"/>
      <c r="J21"/>
      <c r="K21"/>
    </row>
    <row r="22" spans="1:11" ht="24.75" customHeight="1" thickBot="1">
      <c r="A22" s="168"/>
      <c r="B22" s="142"/>
      <c r="C22" s="18" t="s">
        <v>2</v>
      </c>
      <c r="D22" s="15" t="str">
        <f>($I$12*$K$12)+$M$12+IF($I15="光輝",3,0)+$I$7+($I$14*$K$14)&amp;"+"&amp;$I$13&amp;"d"&amp;$K$13</f>
        <v>34+3d10</v>
      </c>
      <c r="E22" s="15" t="str">
        <f>($I$12*$K$12)+$M$12+IF($I15="光輝",3,0)+$I$7+($I$14*$K$14)&amp;"+"&amp;$I$13&amp;"d"&amp;$K$13</f>
        <v>34+3d10</v>
      </c>
      <c r="F22" s="15" t="str">
        <f>($I$12*$K$12)+$M$12+IF($I15="光輝",3,0)+$I$7+($I$14*$K$14)&amp;"+"&amp;$I$13&amp;"d"&amp;$K$13&amp;IF($I$5=1," ★","")</f>
        <v>34+3d10 ★</v>
      </c>
      <c r="G22" s="68" t="str">
        <f>($I$12*$K$12)+$M$12+IF($I15="光輝",3,0)+$I$7+($I$14*$K$14)&amp;"+"&amp;$I$13&amp;"d"&amp;$K$13&amp;IF($I$5=1," ★","")</f>
        <v>34+3d10 ★</v>
      </c>
      <c r="I22"/>
      <c r="J22"/>
      <c r="K22"/>
    </row>
    <row r="23" spans="1:11" ht="38.25" customHeight="1">
      <c r="A23" s="180" t="s">
        <v>5</v>
      </c>
      <c r="B23" s="8" t="s">
        <v>68</v>
      </c>
      <c r="C23" s="35" t="str">
        <f>$J$10</f>
        <v>意志</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精神</v>
      </c>
      <c r="D24" s="11" t="str">
        <f>$M$12+IF($I15="光輝",3,0)+$I$7+5&amp;"+"&amp;$I$12&amp;$J$12&amp;$K$12</f>
        <v>17+1d6</v>
      </c>
      <c r="E24" s="11" t="str">
        <f>$M$12+IF($I15="光輝",3,0)+$I$7+5&amp;"+"&amp;$I$12&amp;$J$12&amp;$K$12</f>
        <v>17+1d6</v>
      </c>
      <c r="F24" s="11" t="str">
        <f>$M$12+IF($I15="光輝",3,0)+$I$7+5&amp;"+"&amp;$I$12&amp;$J$12&amp;$K$12&amp;IF($I$5=1," ★","")</f>
        <v>17+1d6 ★</v>
      </c>
      <c r="G24" s="65" t="str">
        <f>$M$12+IF($I15="光輝",3,0)+$I$7+5&amp;"+"&amp;$I$12&amp;$J$12&amp;$K$12&amp;IF($I$5=1," ★","")</f>
        <v>17+1d6 ★</v>
      </c>
      <c r="I24"/>
      <c r="J24"/>
      <c r="K24"/>
    </row>
    <row r="25" spans="1:11" ht="24" customHeight="1">
      <c r="A25" s="181"/>
      <c r="B25" s="170"/>
      <c r="C25" s="19" t="s">
        <v>2</v>
      </c>
      <c r="D25" s="16" t="str">
        <f>$M$12+IF($I15="光輝",3,0)+$I$7+5&amp;"+"&amp;$I$12&amp;"d"&amp;$K$12&amp;"+"&amp;$I$14&amp;"d"&amp;$K$14</f>
        <v>17+1d6+2d8</v>
      </c>
      <c r="E25" s="16" t="str">
        <f>$M$12+IF($I15="光輝",3,0)+$I$7+5&amp;"+"&amp;$I$12&amp;"d"&amp;$K$12&amp;"+"&amp;$I$14&amp;"d"&amp;$K$14</f>
        <v>17+1d6+2d8</v>
      </c>
      <c r="F25" s="16" t="str">
        <f>$M$12+IF($I15="光輝",3,0)+$I$7+5&amp;"+"&amp;$I$12&amp;"d"&amp;$K$12&amp;"+"&amp;$I$14&amp;"d"&amp;$K$14&amp;IF($I$5=1," ★","")</f>
        <v>17+1d6+2d8 ★</v>
      </c>
      <c r="G25" s="66" t="str">
        <f>$M$12+IF($I15="光輝",3,0)+$I$7+5&amp;"+"&amp;$I$12&amp;"d"&amp;$K$12&amp;"+"&amp;$I$14&amp;"d"&amp;$K$14&amp;IF($I$5=1," ★","")</f>
        <v>17+1d6+2d8 ★</v>
      </c>
      <c r="I25"/>
      <c r="J25"/>
      <c r="K25"/>
    </row>
    <row r="26" spans="1:11" ht="24" customHeight="1">
      <c r="A26" s="181"/>
      <c r="B26" s="141" t="s">
        <v>6</v>
      </c>
      <c r="C26" s="13" t="str">
        <f>IF($I$15=0,"",$I$15)</f>
        <v>精神</v>
      </c>
      <c r="D26" s="14" t="str">
        <f>($I$12*$K$12)+5+$M$12+IF($I15="光輝",3,0)+$I$7&amp;"+"&amp;$I$13&amp;"d"&amp;$K$13</f>
        <v>23+3d10</v>
      </c>
      <c r="E26" s="14" t="str">
        <f>($I$12*$K$12)+5+$M$12+IF($I15="光輝",3,0)+$I$7&amp;"+"&amp;$I$13&amp;"d"&amp;$K$13</f>
        <v>23+3d10</v>
      </c>
      <c r="F26" s="14" t="str">
        <f>($I$12*$K$12)+5+$M$12+IF($I15="光輝",3,0)+$I$7&amp;"+"&amp;$I$13&amp;"d"&amp;$K$13&amp;IF($I$5=1," ★","")</f>
        <v>23+3d10 ★</v>
      </c>
      <c r="G26" s="67" t="str">
        <f>($I$12*$K$12)+5+$M$12+IF($I15="光輝",3,0)+$I$7&amp;"+"&amp;$I$13&amp;"d"&amp;$K$13&amp;IF($I$5=1," ★","")</f>
        <v>23+3d10 ★</v>
      </c>
      <c r="I26"/>
      <c r="J26"/>
      <c r="K26"/>
    </row>
    <row r="27" spans="1:11" ht="24" customHeight="1" thickBot="1">
      <c r="A27" s="182"/>
      <c r="B27" s="142"/>
      <c r="C27" s="18" t="s">
        <v>2</v>
      </c>
      <c r="D27" s="15" t="str">
        <f>($I$12*$K$12)+5+$M$12+IF($I15="光輝",3,0)+$I$7+($I$14*$K$14)&amp;"+"&amp;$I$13&amp;"d"&amp;$K$13</f>
        <v>39+3d10</v>
      </c>
      <c r="E27" s="15" t="str">
        <f>($I$12*$K$12)+5+$M$12+IF($I15="光輝",3,0)+$I$7+($I$14*$K$14)&amp;"+"&amp;$I$13&amp;"d"&amp;$K$13</f>
        <v>39+3d10</v>
      </c>
      <c r="F27" s="15" t="str">
        <f>($I$12*$K$12)+5+$M$12+IF($I15="光輝",3,0)+$I$7+($I$14*$K$14)&amp;"+"&amp;$I$13&amp;"d"&amp;$K$13&amp;IF($I$5=1," ★","")</f>
        <v>39+3d10 ★</v>
      </c>
      <c r="G27" s="68" t="str">
        <f>($I$12*$K$12)+5+$M$12+IF($I15="光輝",3,0)+$I$7+($I$14*$K$14)&amp;"+"&amp;$I$13&amp;"d"&amp;$K$13&amp;IF($I$5=1," ★","")</f>
        <v>39+3d10 ★</v>
      </c>
      <c r="I27"/>
      <c r="J27"/>
      <c r="K27"/>
    </row>
    <row r="28" spans="1:11" ht="24"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11" s="61" customFormat="1" ht="9" customHeight="1">
      <c r="A41" s="149"/>
      <c r="B41" s="149"/>
      <c r="C41" s="149"/>
      <c r="D41" s="149"/>
      <c r="E41" s="149"/>
      <c r="F41" s="149"/>
      <c r="G41" s="149"/>
      <c r="H41" s="62"/>
      <c r="I41" s="62"/>
      <c r="J41" s="62"/>
      <c r="K41" s="62"/>
    </row>
    <row r="42" spans="1:7" ht="13.5">
      <c r="A42" s="177" t="s">
        <v>83</v>
      </c>
      <c r="B42" s="178"/>
      <c r="C42" s="178"/>
      <c r="D42" s="178"/>
      <c r="E42" s="178"/>
      <c r="F42" s="178"/>
      <c r="G42" s="179"/>
    </row>
    <row r="43" spans="1:7" ht="7.5" customHeight="1">
      <c r="A43" s="146"/>
      <c r="B43" s="144"/>
      <c r="C43" s="144"/>
      <c r="D43" s="144"/>
      <c r="E43" s="144"/>
      <c r="F43" s="144"/>
      <c r="G43" s="145"/>
    </row>
    <row r="44" spans="1:7" ht="13.5">
      <c r="A44" s="146" t="s">
        <v>254</v>
      </c>
      <c r="B44" s="144"/>
      <c r="C44" s="144"/>
      <c r="D44" s="144"/>
      <c r="E44" s="144"/>
      <c r="F44" s="144"/>
      <c r="G44" s="145"/>
    </row>
    <row r="45" spans="1:7" ht="13.5">
      <c r="A45" s="146" t="s">
        <v>171</v>
      </c>
      <c r="B45" s="144"/>
      <c r="C45" s="144"/>
      <c r="D45" s="144"/>
      <c r="E45" s="144"/>
      <c r="F45" s="144"/>
      <c r="G45" s="145"/>
    </row>
    <row r="46" spans="1:7" ht="13.5">
      <c r="A46" s="146" t="s">
        <v>278</v>
      </c>
      <c r="B46" s="144"/>
      <c r="C46" s="144"/>
      <c r="D46" s="144"/>
      <c r="E46" s="144"/>
      <c r="F46" s="144"/>
      <c r="G46" s="145"/>
    </row>
    <row r="47" spans="1:7" ht="13.5">
      <c r="A47" s="146" t="s">
        <v>204</v>
      </c>
      <c r="B47" s="144"/>
      <c r="C47" s="144"/>
      <c r="D47" s="144"/>
      <c r="E47" s="144"/>
      <c r="F47" s="144"/>
      <c r="G47" s="145"/>
    </row>
    <row r="48" spans="1:7" ht="13.5">
      <c r="A48" s="146" t="s">
        <v>255</v>
      </c>
      <c r="B48" s="144"/>
      <c r="C48" s="144"/>
      <c r="D48" s="144"/>
      <c r="E48" s="144"/>
      <c r="F48" s="144"/>
      <c r="G48" s="145"/>
    </row>
    <row r="49" spans="1:7" ht="8.25" customHeight="1">
      <c r="A49" s="146"/>
      <c r="B49" s="144"/>
      <c r="C49" s="144"/>
      <c r="D49" s="144"/>
      <c r="E49" s="144"/>
      <c r="F49" s="144"/>
      <c r="G49" s="145"/>
    </row>
    <row r="50" spans="1:7" ht="13.5">
      <c r="A50" s="146" t="s">
        <v>256</v>
      </c>
      <c r="B50" s="144"/>
      <c r="C50" s="144"/>
      <c r="D50" s="144"/>
      <c r="E50" s="144"/>
      <c r="F50" s="144"/>
      <c r="G50" s="145"/>
    </row>
    <row r="51" spans="1:7" ht="13.5">
      <c r="A51" s="146" t="s">
        <v>257</v>
      </c>
      <c r="B51" s="144"/>
      <c r="C51" s="144"/>
      <c r="D51" s="144"/>
      <c r="E51" s="144"/>
      <c r="F51" s="144"/>
      <c r="G51" s="145"/>
    </row>
    <row r="52" spans="1:7" ht="7.5" customHeight="1">
      <c r="A52" s="148"/>
      <c r="B52" s="149"/>
      <c r="C52" s="149"/>
      <c r="D52" s="149"/>
      <c r="E52" s="149"/>
      <c r="F52" s="149"/>
      <c r="G52" s="150"/>
    </row>
    <row r="53" spans="1:7" ht="21">
      <c r="A53" s="88" t="s">
        <v>43</v>
      </c>
      <c r="B53" s="89">
        <f>$B$1</f>
        <v>7</v>
      </c>
      <c r="C53" s="90" t="s">
        <v>60</v>
      </c>
      <c r="D53" s="91" t="str">
        <f>$E$1</f>
        <v>遭遇毎</v>
      </c>
      <c r="E53" s="203" t="str">
        <f>$B$2</f>
        <v>ファー・レルム・ファンタズム</v>
      </c>
      <c r="F53" s="204"/>
      <c r="G53" s="205"/>
    </row>
  </sheetData>
  <sheetProtection/>
  <mergeCells count="47">
    <mergeCell ref="A31:G31"/>
    <mergeCell ref="A32:G32"/>
    <mergeCell ref="A33:G33"/>
    <mergeCell ref="A34:G34"/>
    <mergeCell ref="A35:G35"/>
    <mergeCell ref="A36:G36"/>
    <mergeCell ref="A44:G44"/>
    <mergeCell ref="A52:G52"/>
    <mergeCell ref="A46:G46"/>
    <mergeCell ref="A47:G47"/>
    <mergeCell ref="A48:G48"/>
    <mergeCell ref="A49:G49"/>
    <mergeCell ref="A50:G50"/>
    <mergeCell ref="A51:G51"/>
    <mergeCell ref="A42:G42"/>
    <mergeCell ref="A43:G43"/>
    <mergeCell ref="A18:A22"/>
    <mergeCell ref="B19:B20"/>
    <mergeCell ref="B21:B22"/>
    <mergeCell ref="A41:G41"/>
    <mergeCell ref="B26:B27"/>
    <mergeCell ref="A38:G38"/>
    <mergeCell ref="A39:G39"/>
    <mergeCell ref="A40:G40"/>
    <mergeCell ref="B8:G8"/>
    <mergeCell ref="B9:G9"/>
    <mergeCell ref="B12:G12"/>
    <mergeCell ref="B13:G13"/>
    <mergeCell ref="B14:G14"/>
    <mergeCell ref="B15:G15"/>
    <mergeCell ref="A17:C17"/>
    <mergeCell ref="A28:G28"/>
    <mergeCell ref="A29:G29"/>
    <mergeCell ref="E53:G53"/>
    <mergeCell ref="H11:H12"/>
    <mergeCell ref="B10:G10"/>
    <mergeCell ref="B11:G11"/>
    <mergeCell ref="A45:G45"/>
    <mergeCell ref="A23:A27"/>
    <mergeCell ref="B24:B25"/>
    <mergeCell ref="B7:G7"/>
    <mergeCell ref="B1:C1"/>
    <mergeCell ref="F1:G1"/>
    <mergeCell ref="B2:G2"/>
    <mergeCell ref="B4:G4"/>
    <mergeCell ref="B5:G5"/>
    <mergeCell ref="B6:D6"/>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7.xml><?xml version="1.0" encoding="utf-8"?>
<worksheet xmlns="http://schemas.openxmlformats.org/spreadsheetml/2006/main" xmlns:r="http://schemas.openxmlformats.org/officeDocument/2006/relationships">
  <sheetPr>
    <tabColor rgb="FFBC0000"/>
  </sheetPr>
  <dimension ref="A1:M51"/>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92" t="s">
        <v>43</v>
      </c>
      <c r="B1" s="209">
        <v>11</v>
      </c>
      <c r="C1" s="210"/>
      <c r="D1" s="93" t="s">
        <v>60</v>
      </c>
      <c r="E1" s="94" t="s">
        <v>107</v>
      </c>
      <c r="F1" s="211"/>
      <c r="G1" s="212"/>
      <c r="H1" s="34" t="s">
        <v>90</v>
      </c>
    </row>
    <row r="2" spans="1:8" ht="24.75" customHeight="1">
      <c r="A2" s="93" t="s">
        <v>0</v>
      </c>
      <c r="B2" s="213" t="s">
        <v>132</v>
      </c>
      <c r="C2" s="213"/>
      <c r="D2" s="213"/>
      <c r="E2" s="213"/>
      <c r="F2" s="213"/>
      <c r="G2" s="213"/>
      <c r="H2" s="34" t="s">
        <v>92</v>
      </c>
    </row>
    <row r="3" spans="1:9" ht="19.5" customHeight="1">
      <c r="A3" s="32" t="s">
        <v>82</v>
      </c>
      <c r="B3" s="1"/>
      <c r="C3" s="1"/>
      <c r="D3" s="1"/>
      <c r="I3" s="34" t="s">
        <v>79</v>
      </c>
    </row>
    <row r="4" spans="1:9" ht="13.5">
      <c r="A4" s="36" t="s">
        <v>80</v>
      </c>
      <c r="B4" s="153" t="s">
        <v>133</v>
      </c>
      <c r="C4" s="154"/>
      <c r="D4" s="154"/>
      <c r="E4" s="154"/>
      <c r="F4" s="154"/>
      <c r="G4" s="155"/>
      <c r="H4" s="22" t="s">
        <v>75</v>
      </c>
      <c r="I4" s="25">
        <v>1</v>
      </c>
    </row>
    <row r="5" spans="1:9" ht="13.5">
      <c r="A5" s="37" t="s">
        <v>57</v>
      </c>
      <c r="B5" s="153" t="s">
        <v>109</v>
      </c>
      <c r="C5" s="154"/>
      <c r="D5" s="154"/>
      <c r="E5" s="154"/>
      <c r="F5" s="154"/>
      <c r="G5" s="155"/>
      <c r="H5" s="22" t="s">
        <v>76</v>
      </c>
      <c r="I5" s="25">
        <v>1</v>
      </c>
    </row>
    <row r="6" spans="1:9" ht="13.5">
      <c r="A6" s="37" t="s">
        <v>11</v>
      </c>
      <c r="B6" s="153" t="s">
        <v>9</v>
      </c>
      <c r="C6" s="154"/>
      <c r="D6" s="155"/>
      <c r="E6" s="22" t="s">
        <v>96</v>
      </c>
      <c r="F6" s="55" t="str">
        <f>$I$8</f>
        <v>遠隔</v>
      </c>
      <c r="G6" s="55">
        <f>$J$8</f>
        <v>10</v>
      </c>
      <c r="H6" s="54" t="s">
        <v>139</v>
      </c>
      <c r="I6" s="53">
        <v>0</v>
      </c>
    </row>
    <row r="7" spans="1:9" ht="13.5">
      <c r="A7" s="38" t="s">
        <v>10</v>
      </c>
      <c r="B7" s="153" t="s">
        <v>13</v>
      </c>
      <c r="C7" s="154"/>
      <c r="D7" s="154"/>
      <c r="E7" s="154"/>
      <c r="F7" s="154"/>
      <c r="G7" s="155"/>
      <c r="H7" s="54" t="s">
        <v>140</v>
      </c>
      <c r="I7" s="53">
        <v>0</v>
      </c>
    </row>
    <row r="8" spans="1:10" ht="13.5">
      <c r="A8" s="38" t="s">
        <v>14</v>
      </c>
      <c r="B8" s="153" t="s">
        <v>110</v>
      </c>
      <c r="C8" s="154"/>
      <c r="D8" s="154"/>
      <c r="E8" s="154"/>
      <c r="F8" s="154"/>
      <c r="G8" s="155"/>
      <c r="H8" s="22" t="s">
        <v>70</v>
      </c>
      <c r="I8" s="25" t="s">
        <v>71</v>
      </c>
      <c r="J8" s="25">
        <v>10</v>
      </c>
    </row>
    <row r="9" spans="1:11" ht="13.5">
      <c r="A9" s="40" t="s">
        <v>16</v>
      </c>
      <c r="B9" s="156" t="s">
        <v>134</v>
      </c>
      <c r="C9" s="157"/>
      <c r="D9" s="157"/>
      <c r="E9" s="157"/>
      <c r="F9" s="157"/>
      <c r="G9" s="158"/>
      <c r="H9" s="3"/>
      <c r="I9" s="34" t="s">
        <v>91</v>
      </c>
      <c r="K9" s="34" t="s">
        <v>166</v>
      </c>
    </row>
    <row r="10" spans="1:13" ht="13.5">
      <c r="A10" s="39"/>
      <c r="B10" s="146" t="s">
        <v>156</v>
      </c>
      <c r="C10" s="144"/>
      <c r="D10" s="144"/>
      <c r="E10" s="144"/>
      <c r="F10" s="144"/>
      <c r="G10" s="145"/>
      <c r="H10" s="22" t="s">
        <v>86</v>
      </c>
      <c r="I10" s="25" t="s">
        <v>27</v>
      </c>
      <c r="J10" s="25" t="s">
        <v>31</v>
      </c>
      <c r="K10" s="69">
        <f>IF($I$10="知力",'基本'!$K$36,'基本'!$K$18)</f>
        <v>6</v>
      </c>
      <c r="L10" s="22" t="s">
        <v>88</v>
      </c>
      <c r="M10" s="6">
        <f>IF($I$10="知力",'基本'!$G$34,'基本'!$G$16)</f>
        <v>18</v>
      </c>
    </row>
    <row r="11" spans="1:12" ht="13.5">
      <c r="A11" s="39"/>
      <c r="B11" s="143" t="s">
        <v>157</v>
      </c>
      <c r="C11" s="144"/>
      <c r="D11" s="144"/>
      <c r="E11" s="144"/>
      <c r="F11" s="144"/>
      <c r="G11" s="145"/>
      <c r="H11" s="151" t="s">
        <v>87</v>
      </c>
      <c r="I11" s="25" t="s">
        <v>27</v>
      </c>
      <c r="K11" s="69">
        <f>IF($I$11="知力",'基本'!$K$36,'基本'!$K$18)</f>
        <v>6</v>
      </c>
      <c r="L11" s="1"/>
    </row>
    <row r="12" spans="1:13" ht="13.5">
      <c r="A12" s="39"/>
      <c r="B12" s="146" t="s">
        <v>158</v>
      </c>
      <c r="C12" s="144"/>
      <c r="D12" s="144"/>
      <c r="E12" s="144"/>
      <c r="F12" s="144"/>
      <c r="G12" s="145"/>
      <c r="H12" s="152"/>
      <c r="I12" s="25">
        <v>2</v>
      </c>
      <c r="J12" s="22" t="s">
        <v>72</v>
      </c>
      <c r="K12" s="25">
        <v>10</v>
      </c>
      <c r="L12" s="22" t="s">
        <v>89</v>
      </c>
      <c r="M12" s="6">
        <f>IF($I$11="知力",'基本'!$H$36,'基本'!$H$18)</f>
        <v>12</v>
      </c>
    </row>
    <row r="13" spans="1:11" ht="13.5">
      <c r="A13" s="39"/>
      <c r="B13" s="146"/>
      <c r="C13" s="144"/>
      <c r="D13" s="144"/>
      <c r="E13" s="144"/>
      <c r="F13" s="144"/>
      <c r="G13" s="145"/>
      <c r="H13" s="22" t="s">
        <v>85</v>
      </c>
      <c r="I13" s="6">
        <f>IF($I$11="知力",'基本'!$L$38,'基本'!$L$20)</f>
        <v>3</v>
      </c>
      <c r="J13" s="22" t="s">
        <v>72</v>
      </c>
      <c r="K13" s="6">
        <f>IF($I$11="知力",'基本'!$N$38,'基本'!$N$20)</f>
        <v>10</v>
      </c>
    </row>
    <row r="14" spans="1:11" ht="4.5" customHeight="1">
      <c r="A14" s="39"/>
      <c r="B14" s="146"/>
      <c r="C14" s="144"/>
      <c r="D14" s="144"/>
      <c r="E14" s="144"/>
      <c r="F14" s="144"/>
      <c r="G14" s="145"/>
      <c r="H14" s="22" t="s">
        <v>93</v>
      </c>
      <c r="I14" s="6">
        <f>'基本'!$B$21</f>
        <v>2</v>
      </c>
      <c r="J14" s="22" t="s">
        <v>72</v>
      </c>
      <c r="K14" s="6">
        <f>'基本'!$D$21</f>
        <v>8</v>
      </c>
    </row>
    <row r="15" spans="1:9" ht="4.5" customHeight="1">
      <c r="A15" s="41"/>
      <c r="B15" s="148"/>
      <c r="C15" s="149"/>
      <c r="D15" s="149"/>
      <c r="E15" s="149"/>
      <c r="F15" s="149"/>
      <c r="G15" s="150"/>
      <c r="H15" s="54" t="s">
        <v>141</v>
      </c>
      <c r="I15" s="26" t="s">
        <v>142</v>
      </c>
    </row>
    <row r="16" spans="1:5" ht="14.25" thickBot="1">
      <c r="A16" s="33" t="s">
        <v>81</v>
      </c>
      <c r="E16" s="4"/>
    </row>
    <row r="17" spans="1:7" ht="18.75" customHeight="1" thickBot="1">
      <c r="A17" s="214" t="str">
        <f>$B$2</f>
        <v>トランス・イン・ザ・ガイド・スター</v>
      </c>
      <c r="B17" s="215"/>
      <c r="C17" s="216"/>
      <c r="D17" s="7" t="s">
        <v>4</v>
      </c>
      <c r="E17" s="70" t="s">
        <v>3</v>
      </c>
      <c r="F17" s="71" t="s">
        <v>58</v>
      </c>
      <c r="G17" s="17" t="s">
        <v>59</v>
      </c>
    </row>
    <row r="18" spans="1:7" ht="38.25" customHeight="1">
      <c r="A18" s="166" t="s">
        <v>1</v>
      </c>
      <c r="B18" s="8" t="s">
        <v>68</v>
      </c>
      <c r="C18" s="35" t="str">
        <f>$J$10</f>
        <v>意志</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光輝</v>
      </c>
      <c r="D19" s="11" t="str">
        <f>$M$12+IF($I15="光輝",3,0)+$I$7&amp;"+"&amp;$I$12&amp;"d"&amp;$K$12</f>
        <v>15+2d10</v>
      </c>
      <c r="E19" s="11" t="str">
        <f>$M$12+IF($I15="光輝",3,0)+$I$7&amp;"+"&amp;$I$12&amp;"d"&amp;$K$12</f>
        <v>15+2d10</v>
      </c>
      <c r="F19" s="11" t="str">
        <f>$M$12+IF($I15="光輝",3,0)+$I$7&amp;"+"&amp;$I$12&amp;"d"&amp;$K$12&amp;IF($I$5=1," ★","")</f>
        <v>15+2d10 ★</v>
      </c>
      <c r="G19" s="65" t="str">
        <f>$M$12+IF($I15="光輝",3,0)+$I$7&amp;"+"&amp;$I$12&amp;"d"&amp;$K$12&amp;IF($I$5=1," ★","")</f>
        <v>15+2d10 ★</v>
      </c>
    </row>
    <row r="20" spans="1:11" ht="24.75" customHeight="1">
      <c r="A20" s="167"/>
      <c r="B20" s="170"/>
      <c r="C20" s="19" t="s">
        <v>2</v>
      </c>
      <c r="D20" s="16" t="str">
        <f>$M$12+IF($I15="光輝",3,0)+$I$7&amp;"+"&amp;$I$12&amp;"d"&amp;$K$12&amp;"+"&amp;$I$14&amp;"d"&amp;$K$14</f>
        <v>15+2d10+2d8</v>
      </c>
      <c r="E20" s="16" t="str">
        <f>$M$12+IF($I15="光輝",3,0)+$I$7&amp;"+"&amp;$I$12&amp;"d"&amp;$K$12&amp;"+"&amp;$I$14&amp;"d"&amp;$K$14</f>
        <v>15+2d10+2d8</v>
      </c>
      <c r="F20" s="16" t="str">
        <f>$M$12+IF($I15="光輝",3,0)+$I$7&amp;"+"&amp;$I$12&amp;"d"&amp;$K$12&amp;"+"&amp;$I$14&amp;"d"&amp;$K$14&amp;IF($I$5=1," ★","")</f>
        <v>15+2d10+2d8 ★</v>
      </c>
      <c r="G20" s="66" t="str">
        <f>$M$12+IF($I15="光輝",3,0)+$I$7&amp;"+"&amp;$I$12&amp;"d"&amp;$K$12&amp;"+"&amp;$I$14&amp;"d"&amp;$K$14&amp;IF($I$5=1," ★","")</f>
        <v>15+2d10+2d8 ★</v>
      </c>
      <c r="I20"/>
      <c r="J20"/>
      <c r="K20"/>
    </row>
    <row r="21" spans="1:11" ht="24.75" customHeight="1">
      <c r="A21" s="167"/>
      <c r="B21" s="141" t="s">
        <v>6</v>
      </c>
      <c r="C21" s="13" t="str">
        <f>IF($I$15=0,"",$I$15)</f>
        <v>光輝</v>
      </c>
      <c r="D21" s="14" t="str">
        <f>($I$12*$K$12)+$M$12+IF($I15="光輝",3,0)+$I$7&amp;"+"&amp;$I$13&amp;"d"&amp;$K$13</f>
        <v>35+3d10</v>
      </c>
      <c r="E21" s="14" t="str">
        <f>($I$12*$K$12)+$M$12+IF($I15="光輝",3,0)+$I$7&amp;"+"&amp;$I$13&amp;"d"&amp;$K$13</f>
        <v>35+3d10</v>
      </c>
      <c r="F21" s="14" t="str">
        <f>($I$12*$K$12)+$M$12+IF($I15="光輝",3,0)+$I$7&amp;"+"&amp;$I$13&amp;"d"&amp;$K$13&amp;IF($I$5=1," ★","")</f>
        <v>35+3d10 ★</v>
      </c>
      <c r="G21" s="67" t="str">
        <f>($I$12*$K$12)+$M$12+IF($I15="光輝",3,0)+$I$7&amp;"+"&amp;$I$13&amp;"d"&amp;$K$13&amp;IF($I$5=1," ★","")</f>
        <v>35+3d10 ★</v>
      </c>
      <c r="I21"/>
      <c r="J21"/>
      <c r="K21"/>
    </row>
    <row r="22" spans="1:11" ht="24.75" customHeight="1" thickBot="1">
      <c r="A22" s="168"/>
      <c r="B22" s="142"/>
      <c r="C22" s="18" t="s">
        <v>2</v>
      </c>
      <c r="D22" s="15" t="str">
        <f>($I$12*$K$12)+$M$12+IF($I15="光輝",3,0)+$I$7+($I$14*$K$14)&amp;"+"&amp;$I$13&amp;"d"&amp;$K$13</f>
        <v>51+3d10</v>
      </c>
      <c r="E22" s="15" t="str">
        <f>($I$12*$K$12)+$M$12+IF($I15="光輝",3,0)+$I$7+($I$14*$K$14)&amp;"+"&amp;$I$13&amp;"d"&amp;$K$13</f>
        <v>51+3d10</v>
      </c>
      <c r="F22" s="15" t="str">
        <f>($I$12*$K$12)+$M$12+IF($I15="光輝",3,0)+$I$7+($I$14*$K$14)&amp;"+"&amp;$I$13&amp;"d"&amp;$K$13&amp;IF($I$5=1," ★","")</f>
        <v>51+3d10 ★</v>
      </c>
      <c r="G22" s="68" t="str">
        <f>($I$12*$K$12)+$M$12+IF($I15="光輝",3,0)+$I$7+($I$14*$K$14)&amp;"+"&amp;$I$13&amp;"d"&amp;$K$13&amp;IF($I$5=1," ★","")</f>
        <v>51+3d10 ★</v>
      </c>
      <c r="I22"/>
      <c r="J22"/>
      <c r="K22"/>
    </row>
    <row r="23" spans="1:11" ht="38.25" customHeight="1">
      <c r="A23" s="180" t="s">
        <v>5</v>
      </c>
      <c r="B23" s="8" t="s">
        <v>68</v>
      </c>
      <c r="C23" s="35" t="str">
        <f>$J$10</f>
        <v>意志</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光輝</v>
      </c>
      <c r="D24" s="11" t="str">
        <f>$M$12+IF($I15="光輝",3,0)+$I$7+5&amp;"+"&amp;$I$12&amp;$J$12&amp;$K$12</f>
        <v>20+2d10</v>
      </c>
      <c r="E24" s="11" t="str">
        <f>$M$12+IF($I15="光輝",3,0)+$I$7+5&amp;"+"&amp;$I$12&amp;$J$12&amp;$K$12</f>
        <v>20+2d10</v>
      </c>
      <c r="F24" s="11" t="str">
        <f>$M$12+IF($I15="光輝",3,0)+$I$7+5&amp;"+"&amp;$I$12&amp;$J$12&amp;$K$12&amp;IF($I$5=1," ★","")</f>
        <v>20+2d10 ★</v>
      </c>
      <c r="G24" s="65" t="str">
        <f>$M$12+IF($I15="光輝",3,0)+$I$7+5&amp;"+"&amp;$I$12&amp;$J$12&amp;$K$12&amp;IF($I$5=1," ★","")</f>
        <v>20+2d10 ★</v>
      </c>
      <c r="I24"/>
      <c r="J24"/>
      <c r="K24"/>
    </row>
    <row r="25" spans="1:11" ht="24" customHeight="1">
      <c r="A25" s="181"/>
      <c r="B25" s="170"/>
      <c r="C25" s="19" t="s">
        <v>2</v>
      </c>
      <c r="D25" s="16" t="str">
        <f>$M$12+IF($I15="光輝",3,0)+$I$7+5&amp;"+"&amp;$I$12&amp;"d"&amp;$K$12&amp;"+"&amp;$I$14&amp;"d"&amp;$K$14</f>
        <v>20+2d10+2d8</v>
      </c>
      <c r="E25" s="16" t="str">
        <f>$M$12+IF($I15="光輝",3,0)+$I$7+5&amp;"+"&amp;$I$12&amp;"d"&amp;$K$12&amp;"+"&amp;$I$14&amp;"d"&amp;$K$14</f>
        <v>20+2d10+2d8</v>
      </c>
      <c r="F25" s="16" t="str">
        <f>$M$12+IF($I15="光輝",3,0)+$I$7+5&amp;"+"&amp;$I$12&amp;"d"&amp;$K$12&amp;"+"&amp;$I$14&amp;"d"&amp;$K$14&amp;IF($I$5=1," ★","")</f>
        <v>20+2d10+2d8 ★</v>
      </c>
      <c r="G25" s="66" t="str">
        <f>$M$12+IF($I15="光輝",3,0)+$I$7+5&amp;"+"&amp;$I$12&amp;"d"&amp;$K$12&amp;"+"&amp;$I$14&amp;"d"&amp;$K$14&amp;IF($I$5=1," ★","")</f>
        <v>20+2d10+2d8 ★</v>
      </c>
      <c r="I25"/>
      <c r="J25"/>
      <c r="K25"/>
    </row>
    <row r="26" spans="1:11" ht="24" customHeight="1">
      <c r="A26" s="181"/>
      <c r="B26" s="141" t="s">
        <v>6</v>
      </c>
      <c r="C26" s="13" t="str">
        <f>IF($I$15=0,"",$I$15)</f>
        <v>光輝</v>
      </c>
      <c r="D26" s="14" t="str">
        <f>($I$12*$K$12)+5+$M$12+IF($I15="光輝",3,0)+$I$7&amp;"+"&amp;$I$13&amp;"d"&amp;$K$13</f>
        <v>40+3d10</v>
      </c>
      <c r="E26" s="14" t="str">
        <f>($I$12*$K$12)+5+$M$12+IF($I15="光輝",3,0)+$I$7&amp;"+"&amp;$I$13&amp;"d"&amp;$K$13</f>
        <v>40+3d10</v>
      </c>
      <c r="F26" s="14" t="str">
        <f>($I$12*$K$12)+5+$M$12+IF($I15="光輝",3,0)+$I$7&amp;"+"&amp;$I$13&amp;"d"&amp;$K$13&amp;IF($I$5=1," ★","")</f>
        <v>40+3d10 ★</v>
      </c>
      <c r="G26" s="67" t="str">
        <f>($I$12*$K$12)+5+$M$12+IF($I15="光輝",3,0)+$I$7&amp;"+"&amp;$I$13&amp;"d"&amp;$K$13&amp;IF($I$5=1," ★","")</f>
        <v>40+3d10 ★</v>
      </c>
      <c r="I26"/>
      <c r="J26"/>
      <c r="K26"/>
    </row>
    <row r="27" spans="1:11" ht="24" customHeight="1" thickBot="1">
      <c r="A27" s="182"/>
      <c r="B27" s="142"/>
      <c r="C27" s="18" t="s">
        <v>2</v>
      </c>
      <c r="D27" s="15" t="str">
        <f>($I$12*$K$12)+5+$M$12+IF($I15="光輝",3,0)+$I$7+($I$14*$K$14)&amp;"+"&amp;$I$13&amp;"d"&amp;$K$13</f>
        <v>56+3d10</v>
      </c>
      <c r="E27" s="15" t="str">
        <f>($I$12*$K$12)+5+$M$12+IF($I15="光輝",3,0)+$I$7+($I$14*$K$14)&amp;"+"&amp;$I$13&amp;"d"&amp;$K$13</f>
        <v>56+3d10</v>
      </c>
      <c r="F27" s="15" t="str">
        <f>($I$12*$K$12)+5+$M$12+IF($I15="光輝",3,0)+$I$7+($I$14*$K$14)&amp;"+"&amp;$I$13&amp;"d"&amp;$K$13&amp;IF($I$5=1," ★","")</f>
        <v>56+3d10 ★</v>
      </c>
      <c r="G27" s="68" t="str">
        <f>($I$12*$K$12)+5+$M$12+IF($I15="光輝",3,0)+$I$7+($I$14*$K$14)&amp;"+"&amp;$I$13&amp;"d"&amp;$K$13&amp;IF($I$5=1," ★","")</f>
        <v>56+3d10 ★</v>
      </c>
      <c r="I27"/>
      <c r="J27"/>
      <c r="K27"/>
    </row>
    <row r="28" spans="1:11" ht="24"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11" s="61" customFormat="1" ht="13.5">
      <c r="A41" s="149"/>
      <c r="B41" s="149"/>
      <c r="C41" s="149"/>
      <c r="D41" s="149"/>
      <c r="E41" s="149"/>
      <c r="F41" s="149"/>
      <c r="G41" s="149"/>
      <c r="H41" s="62"/>
      <c r="I41" s="62"/>
      <c r="J41" s="62"/>
      <c r="K41" s="62"/>
    </row>
    <row r="42" spans="1:7" ht="13.5">
      <c r="A42" s="177" t="s">
        <v>83</v>
      </c>
      <c r="B42" s="178"/>
      <c r="C42" s="178"/>
      <c r="D42" s="178"/>
      <c r="E42" s="178"/>
      <c r="F42" s="178"/>
      <c r="G42" s="179"/>
    </row>
    <row r="43" spans="1:7" ht="13.5">
      <c r="A43" s="146"/>
      <c r="B43" s="144"/>
      <c r="C43" s="144"/>
      <c r="D43" s="144"/>
      <c r="E43" s="144"/>
      <c r="F43" s="144"/>
      <c r="G43" s="145"/>
    </row>
    <row r="44" spans="1:7" ht="13.5">
      <c r="A44" s="146" t="s">
        <v>172</v>
      </c>
      <c r="B44" s="144"/>
      <c r="C44" s="144"/>
      <c r="D44" s="144"/>
      <c r="E44" s="144"/>
      <c r="F44" s="144"/>
      <c r="G44" s="145"/>
    </row>
    <row r="45" spans="1:7" ht="13.5">
      <c r="A45" s="146" t="s">
        <v>173</v>
      </c>
      <c r="B45" s="144"/>
      <c r="C45" s="144"/>
      <c r="D45" s="144"/>
      <c r="E45" s="144"/>
      <c r="F45" s="144"/>
      <c r="G45" s="145"/>
    </row>
    <row r="46" spans="1:7" ht="13.5">
      <c r="A46" s="146" t="s">
        <v>174</v>
      </c>
      <c r="B46" s="144"/>
      <c r="C46" s="144"/>
      <c r="D46" s="144"/>
      <c r="E46" s="144"/>
      <c r="F46" s="144"/>
      <c r="G46" s="145"/>
    </row>
    <row r="47" spans="1:7" ht="13.5">
      <c r="A47" s="146" t="s">
        <v>175</v>
      </c>
      <c r="B47" s="144"/>
      <c r="C47" s="144"/>
      <c r="D47" s="144"/>
      <c r="E47" s="144"/>
      <c r="F47" s="144"/>
      <c r="G47" s="145"/>
    </row>
    <row r="48" spans="1:7" ht="13.5">
      <c r="A48" s="146"/>
      <c r="B48" s="144"/>
      <c r="C48" s="144"/>
      <c r="D48" s="144"/>
      <c r="E48" s="144"/>
      <c r="F48" s="144"/>
      <c r="G48" s="145"/>
    </row>
    <row r="49" spans="1:7" ht="13.5">
      <c r="A49" s="127" t="s">
        <v>205</v>
      </c>
      <c r="B49" s="61"/>
      <c r="C49" s="61"/>
      <c r="D49" s="61"/>
      <c r="E49" s="61"/>
      <c r="F49" s="61"/>
      <c r="G49" s="128"/>
    </row>
    <row r="50" spans="1:7" ht="6.75" customHeight="1">
      <c r="A50" s="148"/>
      <c r="B50" s="149"/>
      <c r="C50" s="149"/>
      <c r="D50" s="149"/>
      <c r="E50" s="149"/>
      <c r="F50" s="149"/>
      <c r="G50" s="150"/>
    </row>
    <row r="51" spans="1:7" ht="21">
      <c r="A51" s="88" t="s">
        <v>43</v>
      </c>
      <c r="B51" s="89">
        <f>$B$1</f>
        <v>11</v>
      </c>
      <c r="C51" s="90" t="s">
        <v>60</v>
      </c>
      <c r="D51" s="91" t="str">
        <f>$E$1</f>
        <v>遭遇毎</v>
      </c>
      <c r="E51" s="203" t="str">
        <f>$B$2</f>
        <v>トランス・イン・ザ・ガイド・スター</v>
      </c>
      <c r="F51" s="204"/>
      <c r="G51" s="205"/>
    </row>
  </sheetData>
  <sheetProtection/>
  <mergeCells count="44">
    <mergeCell ref="A40:G40"/>
    <mergeCell ref="A31:G31"/>
    <mergeCell ref="A32:G32"/>
    <mergeCell ref="A33:G33"/>
    <mergeCell ref="A34:G34"/>
    <mergeCell ref="A35:G35"/>
    <mergeCell ref="A36:G36"/>
    <mergeCell ref="A44:G44"/>
    <mergeCell ref="A46:G46"/>
    <mergeCell ref="A47:G47"/>
    <mergeCell ref="A48:G48"/>
    <mergeCell ref="A50:G50"/>
    <mergeCell ref="A42:G42"/>
    <mergeCell ref="A43:G43"/>
    <mergeCell ref="B21:B22"/>
    <mergeCell ref="A41:G41"/>
    <mergeCell ref="B8:G8"/>
    <mergeCell ref="B9:G9"/>
    <mergeCell ref="B12:G12"/>
    <mergeCell ref="B13:G13"/>
    <mergeCell ref="B14:G14"/>
    <mergeCell ref="B15:G15"/>
    <mergeCell ref="A38:G38"/>
    <mergeCell ref="A39:G39"/>
    <mergeCell ref="A28:G28"/>
    <mergeCell ref="A29:G29"/>
    <mergeCell ref="E51:G51"/>
    <mergeCell ref="H11:H12"/>
    <mergeCell ref="B10:G10"/>
    <mergeCell ref="B11:G11"/>
    <mergeCell ref="A45:G45"/>
    <mergeCell ref="A23:A27"/>
    <mergeCell ref="B24:B25"/>
    <mergeCell ref="A18:A22"/>
    <mergeCell ref="B26:B27"/>
    <mergeCell ref="B7:G7"/>
    <mergeCell ref="B1:C1"/>
    <mergeCell ref="F1:G1"/>
    <mergeCell ref="B2:G2"/>
    <mergeCell ref="B4:G4"/>
    <mergeCell ref="B5:G5"/>
    <mergeCell ref="B6:D6"/>
    <mergeCell ref="A17:C17"/>
    <mergeCell ref="B19:B20"/>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8.xml><?xml version="1.0" encoding="utf-8"?>
<worksheet xmlns="http://schemas.openxmlformats.org/spreadsheetml/2006/main" xmlns:r="http://schemas.openxmlformats.org/officeDocument/2006/relationships">
  <sheetPr>
    <tabColor rgb="FFBC0000"/>
  </sheetPr>
  <dimension ref="A1:M53"/>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92" t="s">
        <v>43</v>
      </c>
      <c r="B1" s="209">
        <v>13</v>
      </c>
      <c r="C1" s="210"/>
      <c r="D1" s="93" t="s">
        <v>60</v>
      </c>
      <c r="E1" s="94" t="s">
        <v>107</v>
      </c>
      <c r="F1" s="211"/>
      <c r="G1" s="212"/>
      <c r="H1" s="34" t="s">
        <v>90</v>
      </c>
    </row>
    <row r="2" spans="1:8" ht="24.75" customHeight="1">
      <c r="A2" s="93" t="s">
        <v>0</v>
      </c>
      <c r="B2" s="213" t="s">
        <v>135</v>
      </c>
      <c r="C2" s="213"/>
      <c r="D2" s="213"/>
      <c r="E2" s="213"/>
      <c r="F2" s="213"/>
      <c r="G2" s="213"/>
      <c r="H2" s="34" t="s">
        <v>92</v>
      </c>
    </row>
    <row r="3" spans="1:9" ht="19.5" customHeight="1">
      <c r="A3" s="32" t="s">
        <v>82</v>
      </c>
      <c r="B3" s="1"/>
      <c r="C3" s="1"/>
      <c r="D3" s="1"/>
      <c r="I3" s="34" t="s">
        <v>79</v>
      </c>
    </row>
    <row r="4" spans="1:9" ht="13.5">
      <c r="A4" s="36" t="s">
        <v>80</v>
      </c>
      <c r="B4" s="153" t="s">
        <v>136</v>
      </c>
      <c r="C4" s="154"/>
      <c r="D4" s="154"/>
      <c r="E4" s="154"/>
      <c r="F4" s="154"/>
      <c r="G4" s="155"/>
      <c r="H4" s="22" t="s">
        <v>75</v>
      </c>
      <c r="I4" s="25">
        <v>1</v>
      </c>
    </row>
    <row r="5" spans="1:9" ht="13.5">
      <c r="A5" s="37" t="s">
        <v>57</v>
      </c>
      <c r="B5" s="153" t="s">
        <v>109</v>
      </c>
      <c r="C5" s="154"/>
      <c r="D5" s="154"/>
      <c r="E5" s="154"/>
      <c r="F5" s="154"/>
      <c r="G5" s="155"/>
      <c r="H5" s="22" t="s">
        <v>76</v>
      </c>
      <c r="I5" s="25">
        <v>1</v>
      </c>
    </row>
    <row r="6" spans="1:9" ht="13.5">
      <c r="A6" s="37" t="s">
        <v>11</v>
      </c>
      <c r="B6" s="153" t="s">
        <v>9</v>
      </c>
      <c r="C6" s="154"/>
      <c r="D6" s="155"/>
      <c r="E6" s="22" t="s">
        <v>96</v>
      </c>
      <c r="F6" s="55" t="str">
        <f>$I$8</f>
        <v>遠隔</v>
      </c>
      <c r="G6" s="55">
        <f>$J$8</f>
        <v>10</v>
      </c>
      <c r="H6" s="54" t="s">
        <v>139</v>
      </c>
      <c r="I6" s="53">
        <v>0</v>
      </c>
    </row>
    <row r="7" spans="1:9" ht="13.5">
      <c r="A7" s="38" t="s">
        <v>10</v>
      </c>
      <c r="B7" s="153" t="s">
        <v>13</v>
      </c>
      <c r="C7" s="154"/>
      <c r="D7" s="154"/>
      <c r="E7" s="154"/>
      <c r="F7" s="154"/>
      <c r="G7" s="155"/>
      <c r="H7" s="54" t="s">
        <v>140</v>
      </c>
      <c r="I7" s="53">
        <v>0</v>
      </c>
    </row>
    <row r="8" spans="1:10" ht="13.5">
      <c r="A8" s="38" t="s">
        <v>14</v>
      </c>
      <c r="B8" s="153" t="s">
        <v>130</v>
      </c>
      <c r="C8" s="154"/>
      <c r="D8" s="154"/>
      <c r="E8" s="154"/>
      <c r="F8" s="154"/>
      <c r="G8" s="155"/>
      <c r="H8" s="22" t="s">
        <v>70</v>
      </c>
      <c r="I8" s="25" t="s">
        <v>71</v>
      </c>
      <c r="J8" s="25">
        <v>10</v>
      </c>
    </row>
    <row r="9" spans="1:11" ht="13.5">
      <c r="A9" s="40" t="s">
        <v>16</v>
      </c>
      <c r="B9" s="156" t="s">
        <v>137</v>
      </c>
      <c r="C9" s="157"/>
      <c r="D9" s="157"/>
      <c r="E9" s="157"/>
      <c r="F9" s="157"/>
      <c r="G9" s="158"/>
      <c r="H9" s="3"/>
      <c r="I9" s="34" t="s">
        <v>91</v>
      </c>
      <c r="K9" s="34" t="s">
        <v>166</v>
      </c>
    </row>
    <row r="10" spans="1:13" ht="13.5">
      <c r="A10" s="39"/>
      <c r="B10" s="146" t="s">
        <v>159</v>
      </c>
      <c r="C10" s="144"/>
      <c r="D10" s="144"/>
      <c r="E10" s="144"/>
      <c r="F10" s="144"/>
      <c r="G10" s="145"/>
      <c r="H10" s="22" t="s">
        <v>86</v>
      </c>
      <c r="I10" s="25" t="s">
        <v>27</v>
      </c>
      <c r="J10" s="25" t="s">
        <v>31</v>
      </c>
      <c r="K10" s="69">
        <f>IF($I$10="知力",'基本'!$K$36,'基本'!$K$18)</f>
        <v>6</v>
      </c>
      <c r="L10" s="22" t="s">
        <v>88</v>
      </c>
      <c r="M10" s="6">
        <f>IF($I$10="知力",'基本'!$G$34,'基本'!$G$16)</f>
        <v>18</v>
      </c>
    </row>
    <row r="11" spans="1:12" ht="8.25" customHeight="1">
      <c r="A11" s="39"/>
      <c r="B11" s="146"/>
      <c r="C11" s="144"/>
      <c r="D11" s="144"/>
      <c r="E11" s="144"/>
      <c r="F11" s="144"/>
      <c r="G11" s="145"/>
      <c r="H11" s="151" t="s">
        <v>87</v>
      </c>
      <c r="I11" s="25" t="s">
        <v>27</v>
      </c>
      <c r="K11" s="69">
        <f>IF($I$11="知力",'基本'!$K$36,'基本'!$K$18)</f>
        <v>6</v>
      </c>
      <c r="L11" s="1"/>
    </row>
    <row r="12" spans="1:13" ht="13.5">
      <c r="A12" s="39"/>
      <c r="B12" s="146" t="s">
        <v>138</v>
      </c>
      <c r="C12" s="144"/>
      <c r="D12" s="144"/>
      <c r="E12" s="144"/>
      <c r="F12" s="144"/>
      <c r="G12" s="145"/>
      <c r="H12" s="152"/>
      <c r="I12" s="25">
        <v>2</v>
      </c>
      <c r="J12" s="22" t="s">
        <v>72</v>
      </c>
      <c r="K12" s="25">
        <v>8</v>
      </c>
      <c r="L12" s="22" t="s">
        <v>89</v>
      </c>
      <c r="M12" s="6">
        <f>IF($I$11="知力",'基本'!$H$36,'基本'!$H$18)</f>
        <v>12</v>
      </c>
    </row>
    <row r="13" spans="1:11" ht="13.5">
      <c r="A13" s="39"/>
      <c r="B13" s="146" t="s">
        <v>160</v>
      </c>
      <c r="C13" s="144"/>
      <c r="D13" s="144"/>
      <c r="E13" s="144"/>
      <c r="F13" s="144"/>
      <c r="G13" s="145"/>
      <c r="H13" s="22" t="s">
        <v>85</v>
      </c>
      <c r="I13" s="6">
        <f>IF($I$11="知力",'基本'!$L$38,'基本'!$L$20)</f>
        <v>3</v>
      </c>
      <c r="J13" s="22" t="s">
        <v>72</v>
      </c>
      <c r="K13" s="6">
        <f>IF($I$11="知力",'基本'!$N$38,'基本'!$N$20)</f>
        <v>10</v>
      </c>
    </row>
    <row r="14" spans="1:11" ht="1.5" customHeight="1">
      <c r="A14" s="39"/>
      <c r="B14" s="146"/>
      <c r="C14" s="144"/>
      <c r="D14" s="144"/>
      <c r="E14" s="144"/>
      <c r="F14" s="144"/>
      <c r="G14" s="145"/>
      <c r="H14" s="22" t="s">
        <v>93</v>
      </c>
      <c r="I14" s="6">
        <f>'基本'!$B$21</f>
        <v>2</v>
      </c>
      <c r="J14" s="22" t="s">
        <v>72</v>
      </c>
      <c r="K14" s="6">
        <f>'基本'!$D$21</f>
        <v>8</v>
      </c>
    </row>
    <row r="15" spans="1:9" ht="7.5" customHeight="1">
      <c r="A15" s="41"/>
      <c r="B15" s="148"/>
      <c r="C15" s="149"/>
      <c r="D15" s="149"/>
      <c r="E15" s="149"/>
      <c r="F15" s="149"/>
      <c r="G15" s="150"/>
      <c r="H15" s="54" t="s">
        <v>141</v>
      </c>
      <c r="I15" s="26" t="s">
        <v>142</v>
      </c>
    </row>
    <row r="16" spans="1:5" ht="14.25" thickBot="1">
      <c r="A16" s="33" t="s">
        <v>81</v>
      </c>
      <c r="E16" s="4"/>
    </row>
    <row r="17" spans="1:7" ht="18.75" customHeight="1" thickBot="1">
      <c r="A17" s="214" t="str">
        <f>$B$2</f>
        <v>ブレイズ･オブ･ウルバン</v>
      </c>
      <c r="B17" s="215"/>
      <c r="C17" s="216"/>
      <c r="D17" s="7" t="s">
        <v>4</v>
      </c>
      <c r="E17" s="70" t="s">
        <v>3</v>
      </c>
      <c r="F17" s="71" t="s">
        <v>58</v>
      </c>
      <c r="G17" s="17" t="s">
        <v>59</v>
      </c>
    </row>
    <row r="18" spans="1:7" ht="38.25" customHeight="1">
      <c r="A18" s="166" t="s">
        <v>1</v>
      </c>
      <c r="B18" s="8" t="s">
        <v>68</v>
      </c>
      <c r="C18" s="35" t="str">
        <f>$J$10</f>
        <v>意志</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光輝</v>
      </c>
      <c r="D19" s="11" t="str">
        <f>$M$12+IF($I15="光輝",3,0)+$I$7&amp;"+"&amp;$I$12&amp;"d"&amp;$K$12</f>
        <v>15+2d8</v>
      </c>
      <c r="E19" s="11" t="str">
        <f>$M$12+IF($I15="光輝",3,0)+$I$7&amp;"+"&amp;$I$12&amp;"d"&amp;$K$12</f>
        <v>15+2d8</v>
      </c>
      <c r="F19" s="11" t="str">
        <f>$M$12+IF($I15="光輝",3,0)+$I$7&amp;"+"&amp;$I$12&amp;"d"&amp;$K$12&amp;IF($I$5=1," ★","")</f>
        <v>15+2d8 ★</v>
      </c>
      <c r="G19" s="65" t="str">
        <f>$M$12+IF($I15="光輝",3,0)+$I$7&amp;"+"&amp;$I$12&amp;"d"&amp;$K$12&amp;IF($I$5=1," ★","")</f>
        <v>15+2d8 ★</v>
      </c>
    </row>
    <row r="20" spans="1:11" ht="24.75" customHeight="1">
      <c r="A20" s="167"/>
      <c r="B20" s="170"/>
      <c r="C20" s="19" t="s">
        <v>2</v>
      </c>
      <c r="D20" s="16" t="str">
        <f>$M$12+IF($I15="光輝",3,0)+$I$7&amp;"+"&amp;$I$12&amp;"d"&amp;$K$12&amp;"+"&amp;$I$14&amp;"d"&amp;$K$14</f>
        <v>15+2d8+2d8</v>
      </c>
      <c r="E20" s="16" t="str">
        <f>$M$12+IF($I15="光輝",3,0)+$I$7&amp;"+"&amp;$I$12&amp;"d"&amp;$K$12&amp;"+"&amp;$I$14&amp;"d"&amp;$K$14</f>
        <v>15+2d8+2d8</v>
      </c>
      <c r="F20" s="16" t="str">
        <f>$M$12+IF($I15="光輝",3,0)+$I$7&amp;"+"&amp;$I$12&amp;"d"&amp;$K$12&amp;"+"&amp;$I$14&amp;"d"&amp;$K$14&amp;IF($I$5=1," ★","")</f>
        <v>15+2d8+2d8 ★</v>
      </c>
      <c r="G20" s="66" t="str">
        <f>$M$12+IF($I15="光輝",3,0)+$I$7&amp;"+"&amp;$I$12&amp;"d"&amp;$K$12&amp;"+"&amp;$I$14&amp;"d"&amp;$K$14&amp;IF($I$5=1," ★","")</f>
        <v>15+2d8+2d8 ★</v>
      </c>
      <c r="I20"/>
      <c r="J20"/>
      <c r="K20"/>
    </row>
    <row r="21" spans="1:11" ht="24.75" customHeight="1">
      <c r="A21" s="167"/>
      <c r="B21" s="141" t="s">
        <v>6</v>
      </c>
      <c r="C21" s="13" t="str">
        <f>IF($I$15=0,"",$I$15)</f>
        <v>光輝</v>
      </c>
      <c r="D21" s="14" t="str">
        <f>($I$12*$K$12)+$M$12+IF($I15="光輝",3,0)+$I$7&amp;"+"&amp;$I$13&amp;"d"&amp;$K$13</f>
        <v>31+3d10</v>
      </c>
      <c r="E21" s="14" t="str">
        <f>($I$12*$K$12)+$M$12+IF($I15="光輝",3,0)+$I$7&amp;"+"&amp;$I$13&amp;"d"&amp;$K$13</f>
        <v>31+3d10</v>
      </c>
      <c r="F21" s="14" t="str">
        <f>($I$12*$K$12)+$M$12+IF($I15="光輝",3,0)+$I$7&amp;"+"&amp;$I$13&amp;"d"&amp;$K$13&amp;IF($I$5=1," ★","")</f>
        <v>31+3d10 ★</v>
      </c>
      <c r="G21" s="67" t="str">
        <f>($I$12*$K$12)+$M$12+IF($I15="光輝",3,0)+$I$7&amp;"+"&amp;$I$13&amp;"d"&amp;$K$13&amp;IF($I$5=1," ★","")</f>
        <v>31+3d10 ★</v>
      </c>
      <c r="I21"/>
      <c r="J21"/>
      <c r="K21"/>
    </row>
    <row r="22" spans="1:11" ht="24.75" customHeight="1" thickBot="1">
      <c r="A22" s="168"/>
      <c r="B22" s="142"/>
      <c r="C22" s="18" t="s">
        <v>2</v>
      </c>
      <c r="D22" s="15" t="str">
        <f>($I$12*$K$12)+$M$12+IF($I15="光輝",3,0)+$I$7+($I$14*$K$14)&amp;"+"&amp;$I$13&amp;"d"&amp;$K$13</f>
        <v>47+3d10</v>
      </c>
      <c r="E22" s="15" t="str">
        <f>($I$12*$K$12)+$M$12+IF($I15="光輝",3,0)+$I$7+($I$14*$K$14)&amp;"+"&amp;$I$13&amp;"d"&amp;$K$13</f>
        <v>47+3d10</v>
      </c>
      <c r="F22" s="15" t="str">
        <f>($I$12*$K$12)+$M$12+IF($I15="光輝",3,0)+$I$7+($I$14*$K$14)&amp;"+"&amp;$I$13&amp;"d"&amp;$K$13&amp;IF($I$5=1," ★","")</f>
        <v>47+3d10 ★</v>
      </c>
      <c r="G22" s="68" t="str">
        <f>($I$12*$K$12)+$M$12+IF($I15="光輝",3,0)+$I$7+($I$14*$K$14)&amp;"+"&amp;$I$13&amp;"d"&amp;$K$13&amp;IF($I$5=1," ★","")</f>
        <v>47+3d10 ★</v>
      </c>
      <c r="I22"/>
      <c r="J22"/>
      <c r="K22"/>
    </row>
    <row r="23" spans="1:11" ht="38.25" customHeight="1">
      <c r="A23" s="180" t="s">
        <v>5</v>
      </c>
      <c r="B23" s="8" t="s">
        <v>68</v>
      </c>
      <c r="C23" s="35" t="str">
        <f>$J$10</f>
        <v>意志</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光輝</v>
      </c>
      <c r="D24" s="11" t="str">
        <f>$M$12+IF($I15="光輝",3,0)+$I$7+5&amp;"+"&amp;$I$12&amp;$J$12&amp;$K$12</f>
        <v>20+2d8</v>
      </c>
      <c r="E24" s="11" t="str">
        <f>$M$12+IF($I15="光輝",3,0)+$I$7+5&amp;"+"&amp;$I$12&amp;$J$12&amp;$K$12</f>
        <v>20+2d8</v>
      </c>
      <c r="F24" s="11" t="str">
        <f>$M$12+IF($I15="光輝",3,0)+$I$7+5&amp;"+"&amp;$I$12&amp;$J$12&amp;$K$12&amp;IF($I$5=1," ★","")</f>
        <v>20+2d8 ★</v>
      </c>
      <c r="G24" s="65" t="str">
        <f>$M$12+IF($I15="光輝",3,0)+$I$7+5&amp;"+"&amp;$I$12&amp;$J$12&amp;$K$12&amp;IF($I$5=1," ★","")</f>
        <v>20+2d8 ★</v>
      </c>
      <c r="I24"/>
      <c r="J24"/>
      <c r="K24"/>
    </row>
    <row r="25" spans="1:11" ht="24" customHeight="1">
      <c r="A25" s="181"/>
      <c r="B25" s="170"/>
      <c r="C25" s="19" t="s">
        <v>2</v>
      </c>
      <c r="D25" s="16" t="str">
        <f>$M$12+IF($I15="光輝",3,0)+$I$7+5&amp;"+"&amp;$I$12&amp;"d"&amp;$K$12&amp;"+"&amp;$I$14&amp;"d"&amp;$K$14</f>
        <v>20+2d8+2d8</v>
      </c>
      <c r="E25" s="16" t="str">
        <f>$M$12+IF($I15="光輝",3,0)+$I$7+5&amp;"+"&amp;$I$12&amp;"d"&amp;$K$12&amp;"+"&amp;$I$14&amp;"d"&amp;$K$14</f>
        <v>20+2d8+2d8</v>
      </c>
      <c r="F25" s="16" t="str">
        <f>$M$12+IF($I15="光輝",3,0)+$I$7+5&amp;"+"&amp;$I$12&amp;"d"&amp;$K$12&amp;"+"&amp;$I$14&amp;"d"&amp;$K$14&amp;IF($I$5=1," ★","")</f>
        <v>20+2d8+2d8 ★</v>
      </c>
      <c r="G25" s="66" t="str">
        <f>$M$12+IF($I15="光輝",3,0)+$I$7+5&amp;"+"&amp;$I$12&amp;"d"&amp;$K$12&amp;"+"&amp;$I$14&amp;"d"&amp;$K$14&amp;IF($I$5=1," ★","")</f>
        <v>20+2d8+2d8 ★</v>
      </c>
      <c r="I25"/>
      <c r="J25"/>
      <c r="K25"/>
    </row>
    <row r="26" spans="1:11" ht="24" customHeight="1">
      <c r="A26" s="181"/>
      <c r="B26" s="141" t="s">
        <v>6</v>
      </c>
      <c r="C26" s="13" t="str">
        <f>IF($I$15=0,"",$I$15)</f>
        <v>光輝</v>
      </c>
      <c r="D26" s="14" t="str">
        <f>($I$12*$K$12)+5+$M$12+IF($I15="光輝",3,0)+$I$7&amp;"+"&amp;$I$13&amp;"d"&amp;$K$13</f>
        <v>36+3d10</v>
      </c>
      <c r="E26" s="14" t="str">
        <f>($I$12*$K$12)+5+$M$12+IF($I15="光輝",3,0)+$I$7&amp;"+"&amp;$I$13&amp;"d"&amp;$K$13</f>
        <v>36+3d10</v>
      </c>
      <c r="F26" s="14" t="str">
        <f>($I$12*$K$12)+5+$M$12+IF($I15="光輝",3,0)+$I$7&amp;"+"&amp;$I$13&amp;"d"&amp;$K$13&amp;IF($I$5=1," ★","")</f>
        <v>36+3d10 ★</v>
      </c>
      <c r="G26" s="67" t="str">
        <f>($I$12*$K$12)+5+$M$12+IF($I15="光輝",3,0)+$I$7&amp;"+"&amp;$I$13&amp;"d"&amp;$K$13&amp;IF($I$5=1," ★","")</f>
        <v>36+3d10 ★</v>
      </c>
      <c r="I26"/>
      <c r="J26"/>
      <c r="K26"/>
    </row>
    <row r="27" spans="1:11" ht="24" customHeight="1" thickBot="1">
      <c r="A27" s="182"/>
      <c r="B27" s="142"/>
      <c r="C27" s="18" t="s">
        <v>2</v>
      </c>
      <c r="D27" s="15" t="str">
        <f>($I$12*$K$12)+5+$M$12+IF($I15="光輝",3,0)+$I$7+($I$14*$K$14)&amp;"+"&amp;$I$13&amp;"d"&amp;$K$13</f>
        <v>52+3d10</v>
      </c>
      <c r="E27" s="15" t="str">
        <f>($I$12*$K$12)+5+$M$12+IF($I15="光輝",3,0)+$I$7+($I$14*$K$14)&amp;"+"&amp;$I$13&amp;"d"&amp;$K$13</f>
        <v>52+3d10</v>
      </c>
      <c r="F27" s="15" t="str">
        <f>($I$12*$K$12)+5+$M$12+IF($I15="光輝",3,0)+$I$7+($I$14*$K$14)&amp;"+"&amp;$I$13&amp;"d"&amp;$K$13&amp;IF($I$5=1," ★","")</f>
        <v>52+3d10 ★</v>
      </c>
      <c r="G27" s="68" t="str">
        <f>($I$12*$K$12)+5+$M$12+IF($I15="光輝",3,0)+$I$7+($I$14*$K$14)&amp;"+"&amp;$I$13&amp;"d"&amp;$K$13&amp;IF($I$5=1," ★","")</f>
        <v>52+3d10 ★</v>
      </c>
      <c r="I27"/>
      <c r="J27"/>
      <c r="K27"/>
    </row>
    <row r="28" spans="1:11" ht="21.75"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4.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5.2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11" s="61" customFormat="1" ht="7.5" customHeight="1">
      <c r="A41" s="149"/>
      <c r="B41" s="149"/>
      <c r="C41" s="149"/>
      <c r="D41" s="149"/>
      <c r="E41" s="149"/>
      <c r="F41" s="149"/>
      <c r="G41" s="149"/>
      <c r="H41" s="62"/>
      <c r="I41" s="62"/>
      <c r="J41" s="62"/>
      <c r="K41" s="62"/>
    </row>
    <row r="42" spans="1:7" ht="13.5">
      <c r="A42" s="177" t="s">
        <v>83</v>
      </c>
      <c r="B42" s="178"/>
      <c r="C42" s="178"/>
      <c r="D42" s="178"/>
      <c r="E42" s="178"/>
      <c r="F42" s="178"/>
      <c r="G42" s="179"/>
    </row>
    <row r="43" spans="1:7" ht="4.5" customHeight="1">
      <c r="A43" s="129"/>
      <c r="B43" s="126"/>
      <c r="C43" s="126"/>
      <c r="D43" s="126"/>
      <c r="E43" s="126"/>
      <c r="F43" s="126"/>
      <c r="G43" s="130"/>
    </row>
    <row r="44" spans="1:7" ht="13.5">
      <c r="A44" s="146" t="s">
        <v>207</v>
      </c>
      <c r="B44" s="144"/>
      <c r="C44" s="144"/>
      <c r="D44" s="144"/>
      <c r="E44" s="144"/>
      <c r="F44" s="144"/>
      <c r="G44" s="145"/>
    </row>
    <row r="45" spans="1:7" ht="13.5">
      <c r="A45" s="146" t="s">
        <v>261</v>
      </c>
      <c r="B45" s="144"/>
      <c r="C45" s="144"/>
      <c r="D45" s="144"/>
      <c r="E45" s="144"/>
      <c r="F45" s="144"/>
      <c r="G45" s="145"/>
    </row>
    <row r="46" spans="1:7" ht="13.5">
      <c r="A46" s="146" t="s">
        <v>260</v>
      </c>
      <c r="B46" s="144"/>
      <c r="C46" s="144"/>
      <c r="D46" s="144"/>
      <c r="E46" s="144"/>
      <c r="F46" s="144"/>
      <c r="G46" s="145"/>
    </row>
    <row r="47" spans="1:7" ht="13.5">
      <c r="A47" s="146" t="s">
        <v>206</v>
      </c>
      <c r="B47" s="144"/>
      <c r="C47" s="144"/>
      <c r="D47" s="144"/>
      <c r="E47" s="144"/>
      <c r="F47" s="144"/>
      <c r="G47" s="145"/>
    </row>
    <row r="48" spans="1:7" ht="13.5">
      <c r="A48" s="146" t="s">
        <v>176</v>
      </c>
      <c r="B48" s="144"/>
      <c r="C48" s="144"/>
      <c r="D48" s="144"/>
      <c r="E48" s="144"/>
      <c r="F48" s="144"/>
      <c r="G48" s="145"/>
    </row>
    <row r="49" spans="1:7" ht="13.5">
      <c r="A49" s="146" t="s">
        <v>258</v>
      </c>
      <c r="B49" s="144"/>
      <c r="C49" s="144"/>
      <c r="D49" s="144"/>
      <c r="E49" s="144"/>
      <c r="F49" s="144"/>
      <c r="G49" s="145"/>
    </row>
    <row r="50" spans="1:7" ht="13.5">
      <c r="A50" s="146" t="s">
        <v>253</v>
      </c>
      <c r="B50" s="144"/>
      <c r="C50" s="144"/>
      <c r="D50" s="144"/>
      <c r="E50" s="144"/>
      <c r="F50" s="144"/>
      <c r="G50" s="145"/>
    </row>
    <row r="51" spans="1:7" ht="13.5">
      <c r="A51" s="146" t="s">
        <v>259</v>
      </c>
      <c r="B51" s="144"/>
      <c r="C51" s="144"/>
      <c r="D51" s="144"/>
      <c r="E51" s="144"/>
      <c r="F51" s="144"/>
      <c r="G51" s="145"/>
    </row>
    <row r="52" spans="1:7" ht="4.5" customHeight="1">
      <c r="A52" s="148"/>
      <c r="B52" s="149"/>
      <c r="C52" s="149"/>
      <c r="D52" s="149"/>
      <c r="E52" s="149"/>
      <c r="F52" s="149"/>
      <c r="G52" s="150"/>
    </row>
    <row r="53" spans="1:7" ht="21">
      <c r="A53" s="88" t="s">
        <v>43</v>
      </c>
      <c r="B53" s="89">
        <f>$B$1</f>
        <v>13</v>
      </c>
      <c r="C53" s="90" t="s">
        <v>60</v>
      </c>
      <c r="D53" s="91" t="str">
        <f>$E$1</f>
        <v>遭遇毎</v>
      </c>
      <c r="E53" s="203" t="str">
        <f>$B$2</f>
        <v>ブレイズ･オブ･ウルバン</v>
      </c>
      <c r="F53" s="204"/>
      <c r="G53" s="205"/>
    </row>
  </sheetData>
  <sheetProtection/>
  <mergeCells count="46">
    <mergeCell ref="A34:G34"/>
    <mergeCell ref="A35:G35"/>
    <mergeCell ref="A36:G36"/>
    <mergeCell ref="A38:G38"/>
    <mergeCell ref="A41:G41"/>
    <mergeCell ref="A52:G52"/>
    <mergeCell ref="A48:G48"/>
    <mergeCell ref="A46:G46"/>
    <mergeCell ref="A45:G45"/>
    <mergeCell ref="A44:G44"/>
    <mergeCell ref="A47:G47"/>
    <mergeCell ref="A49:G49"/>
    <mergeCell ref="A50:G50"/>
    <mergeCell ref="A51:G51"/>
    <mergeCell ref="A40:G40"/>
    <mergeCell ref="B7:G7"/>
    <mergeCell ref="B24:B25"/>
    <mergeCell ref="B26:B27"/>
    <mergeCell ref="A17:C17"/>
    <mergeCell ref="B19:B20"/>
    <mergeCell ref="B21:B22"/>
    <mergeCell ref="B8:G8"/>
    <mergeCell ref="A32:G32"/>
    <mergeCell ref="A33:G33"/>
    <mergeCell ref="B1:C1"/>
    <mergeCell ref="F1:G1"/>
    <mergeCell ref="B2:G2"/>
    <mergeCell ref="B4:G4"/>
    <mergeCell ref="B5:G5"/>
    <mergeCell ref="B6:D6"/>
    <mergeCell ref="H11:H12"/>
    <mergeCell ref="B10:G10"/>
    <mergeCell ref="B11:G11"/>
    <mergeCell ref="B12:G12"/>
    <mergeCell ref="B13:G13"/>
    <mergeCell ref="B14:G14"/>
    <mergeCell ref="E53:G53"/>
    <mergeCell ref="A42:G42"/>
    <mergeCell ref="B9:G9"/>
    <mergeCell ref="A18:A22"/>
    <mergeCell ref="A23:A27"/>
    <mergeCell ref="A29:G29"/>
    <mergeCell ref="A31:G31"/>
    <mergeCell ref="B15:G15"/>
    <mergeCell ref="A28:G28"/>
    <mergeCell ref="A39:G39"/>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xl/worksheets/sheet9.xml><?xml version="1.0" encoding="utf-8"?>
<worksheet xmlns="http://schemas.openxmlformats.org/spreadsheetml/2006/main" xmlns:r="http://schemas.openxmlformats.org/officeDocument/2006/relationships">
  <sheetPr>
    <tabColor theme="1" tint="0.34999001026153564"/>
  </sheetPr>
  <dimension ref="A1:M53"/>
  <sheetViews>
    <sheetView zoomScalePageLayoutView="0" workbookViewId="0" topLeftCell="A1">
      <selection activeCell="A1" sqref="A1"/>
    </sheetView>
  </sheetViews>
  <sheetFormatPr defaultColWidth="9.140625" defaultRowHeight="15"/>
  <cols>
    <col min="1" max="2" width="7.8515625" style="0" customWidth="1"/>
    <col min="3" max="3" width="6.57421875" style="0" customWidth="1"/>
    <col min="4" max="4" width="15.7109375" style="0" customWidth="1"/>
    <col min="5" max="6" width="15.7109375" style="1" customWidth="1"/>
    <col min="7" max="7" width="18.28125" style="1" customWidth="1"/>
    <col min="8" max="8" width="18.421875" style="1" customWidth="1"/>
    <col min="9" max="9" width="7.28125" style="1" customWidth="1"/>
    <col min="10" max="11" width="12.421875" style="1" customWidth="1"/>
    <col min="12" max="12" width="15.421875" style="0" bestFit="1" customWidth="1"/>
    <col min="13" max="13" width="9.28125" style="0" customWidth="1"/>
    <col min="14" max="14" width="12.421875" style="0" customWidth="1"/>
  </cols>
  <sheetData>
    <row r="1" spans="1:8" ht="21">
      <c r="A1" s="46" t="s">
        <v>43</v>
      </c>
      <c r="B1" s="217">
        <v>1</v>
      </c>
      <c r="C1" s="218"/>
      <c r="D1" s="47" t="s">
        <v>60</v>
      </c>
      <c r="E1" s="48" t="s">
        <v>114</v>
      </c>
      <c r="F1" s="219"/>
      <c r="G1" s="220"/>
      <c r="H1" s="34" t="s">
        <v>90</v>
      </c>
    </row>
    <row r="2" spans="1:8" ht="24.75" customHeight="1">
      <c r="A2" s="47" t="s">
        <v>0</v>
      </c>
      <c r="B2" s="221" t="s">
        <v>113</v>
      </c>
      <c r="C2" s="221"/>
      <c r="D2" s="221"/>
      <c r="E2" s="221"/>
      <c r="F2" s="221"/>
      <c r="G2" s="221"/>
      <c r="H2" s="34" t="s">
        <v>92</v>
      </c>
    </row>
    <row r="3" spans="1:9" ht="19.5" customHeight="1">
      <c r="A3" s="32" t="s">
        <v>82</v>
      </c>
      <c r="B3" s="1"/>
      <c r="C3" s="1"/>
      <c r="D3" s="1"/>
      <c r="I3" s="34" t="s">
        <v>79</v>
      </c>
    </row>
    <row r="4" spans="1:9" ht="13.5">
      <c r="A4" s="36" t="s">
        <v>80</v>
      </c>
      <c r="B4" s="153" t="s">
        <v>108</v>
      </c>
      <c r="C4" s="154"/>
      <c r="D4" s="154"/>
      <c r="E4" s="154"/>
      <c r="F4" s="154"/>
      <c r="G4" s="155"/>
      <c r="H4" s="22" t="s">
        <v>75</v>
      </c>
      <c r="I4" s="25">
        <v>1</v>
      </c>
    </row>
    <row r="5" spans="1:9" ht="13.5">
      <c r="A5" s="37" t="s">
        <v>57</v>
      </c>
      <c r="B5" s="153" t="s">
        <v>115</v>
      </c>
      <c r="C5" s="154"/>
      <c r="D5" s="154"/>
      <c r="E5" s="154"/>
      <c r="F5" s="154"/>
      <c r="G5" s="155"/>
      <c r="H5" s="22" t="s">
        <v>76</v>
      </c>
      <c r="I5" s="25">
        <v>1</v>
      </c>
    </row>
    <row r="6" spans="1:9" ht="13.5">
      <c r="A6" s="37" t="s">
        <v>11</v>
      </c>
      <c r="B6" s="153" t="s">
        <v>9</v>
      </c>
      <c r="C6" s="154"/>
      <c r="D6" s="155"/>
      <c r="E6" s="22" t="s">
        <v>96</v>
      </c>
      <c r="F6" s="55" t="str">
        <f>$I$8</f>
        <v>遠隔</v>
      </c>
      <c r="G6" s="55">
        <f>$J$8</f>
        <v>10</v>
      </c>
      <c r="H6" s="54" t="s">
        <v>139</v>
      </c>
      <c r="I6" s="53">
        <v>0</v>
      </c>
    </row>
    <row r="7" spans="1:9" ht="13.5">
      <c r="A7" s="38" t="s">
        <v>10</v>
      </c>
      <c r="B7" s="153" t="s">
        <v>13</v>
      </c>
      <c r="C7" s="154"/>
      <c r="D7" s="154"/>
      <c r="E7" s="154"/>
      <c r="F7" s="154"/>
      <c r="G7" s="155"/>
      <c r="H7" s="54" t="s">
        <v>140</v>
      </c>
      <c r="I7" s="53">
        <v>0</v>
      </c>
    </row>
    <row r="8" spans="1:10" ht="13.5">
      <c r="A8" s="38" t="s">
        <v>14</v>
      </c>
      <c r="B8" s="153" t="s">
        <v>116</v>
      </c>
      <c r="C8" s="154"/>
      <c r="D8" s="154"/>
      <c r="E8" s="154"/>
      <c r="F8" s="154"/>
      <c r="G8" s="155"/>
      <c r="H8" s="22" t="s">
        <v>70</v>
      </c>
      <c r="I8" s="25" t="s">
        <v>71</v>
      </c>
      <c r="J8" s="25">
        <v>10</v>
      </c>
    </row>
    <row r="9" spans="1:11" ht="13.5">
      <c r="A9" s="40" t="s">
        <v>16</v>
      </c>
      <c r="B9" s="156" t="s">
        <v>117</v>
      </c>
      <c r="C9" s="157"/>
      <c r="D9" s="157"/>
      <c r="E9" s="157"/>
      <c r="F9" s="157"/>
      <c r="G9" s="158"/>
      <c r="H9" s="3"/>
      <c r="I9" s="34" t="s">
        <v>91</v>
      </c>
      <c r="K9" s="34" t="s">
        <v>166</v>
      </c>
    </row>
    <row r="10" spans="1:13" ht="13.5">
      <c r="A10" s="39"/>
      <c r="B10" s="228" t="s">
        <v>118</v>
      </c>
      <c r="C10" s="144"/>
      <c r="D10" s="144"/>
      <c r="E10" s="144"/>
      <c r="F10" s="144"/>
      <c r="G10" s="145"/>
      <c r="H10" s="22" t="s">
        <v>86</v>
      </c>
      <c r="I10" s="25" t="s">
        <v>27</v>
      </c>
      <c r="J10" s="25" t="s">
        <v>30</v>
      </c>
      <c r="K10" s="69">
        <f>IF($I$10="知力",'基本'!$K$36,'基本'!$K$18)</f>
        <v>6</v>
      </c>
      <c r="L10" s="22" t="s">
        <v>88</v>
      </c>
      <c r="M10" s="6">
        <f>IF($I$10="知力",'基本'!$G$34,'基本'!$G$16)</f>
        <v>18</v>
      </c>
    </row>
    <row r="11" spans="1:12" ht="13.5">
      <c r="A11" s="39"/>
      <c r="B11" s="229" t="s">
        <v>119</v>
      </c>
      <c r="C11" s="230"/>
      <c r="D11" s="230"/>
      <c r="E11" s="230"/>
      <c r="F11" s="230"/>
      <c r="G11" s="231"/>
      <c r="H11" s="151" t="s">
        <v>87</v>
      </c>
      <c r="I11" s="25" t="s">
        <v>27</v>
      </c>
      <c r="K11" s="69">
        <f>IF($I$11="知力",'基本'!$K$36,'基本'!$K$18)</f>
        <v>6</v>
      </c>
      <c r="L11" s="1"/>
    </row>
    <row r="12" spans="1:13" ht="13.5">
      <c r="A12" s="39"/>
      <c r="B12" s="229" t="s">
        <v>120</v>
      </c>
      <c r="C12" s="230"/>
      <c r="D12" s="230"/>
      <c r="E12" s="230"/>
      <c r="F12" s="230"/>
      <c r="G12" s="231"/>
      <c r="H12" s="152"/>
      <c r="I12" s="25">
        <v>2</v>
      </c>
      <c r="J12" s="22" t="s">
        <v>72</v>
      </c>
      <c r="K12" s="25">
        <v>12</v>
      </c>
      <c r="L12" s="22" t="s">
        <v>89</v>
      </c>
      <c r="M12" s="6">
        <f>IF($I$11="知力",'基本'!$H$36,'基本'!$H$18)</f>
        <v>12</v>
      </c>
    </row>
    <row r="13" spans="1:11" ht="17.25">
      <c r="A13" s="39"/>
      <c r="B13" s="146" t="s">
        <v>161</v>
      </c>
      <c r="C13" s="144"/>
      <c r="D13" s="144"/>
      <c r="E13" s="144"/>
      <c r="F13" s="144"/>
      <c r="G13" s="145"/>
      <c r="H13" s="22" t="s">
        <v>85</v>
      </c>
      <c r="I13" s="6">
        <f>IF($I$11="知力",'基本'!$L$38,'基本'!$L$20)</f>
        <v>3</v>
      </c>
      <c r="J13" s="22" t="s">
        <v>72</v>
      </c>
      <c r="K13" s="6">
        <f>IF($I$11="知力",'基本'!$N$38,'基本'!$N$20)</f>
        <v>10</v>
      </c>
    </row>
    <row r="14" spans="1:11" ht="1.5" customHeight="1">
      <c r="A14" s="39"/>
      <c r="B14" s="146"/>
      <c r="C14" s="144"/>
      <c r="D14" s="144"/>
      <c r="E14" s="144"/>
      <c r="F14" s="144"/>
      <c r="G14" s="145"/>
      <c r="H14" s="22" t="s">
        <v>93</v>
      </c>
      <c r="I14" s="6">
        <f>'基本'!$B$21</f>
        <v>2</v>
      </c>
      <c r="J14" s="22" t="s">
        <v>72</v>
      </c>
      <c r="K14" s="6">
        <f>'基本'!$D$21</f>
        <v>8</v>
      </c>
    </row>
    <row r="15" spans="1:9" ht="1.5" customHeight="1">
      <c r="A15" s="41"/>
      <c r="B15" s="148"/>
      <c r="C15" s="149"/>
      <c r="D15" s="149"/>
      <c r="E15" s="149"/>
      <c r="F15" s="149"/>
      <c r="G15" s="150"/>
      <c r="H15" s="54" t="s">
        <v>141</v>
      </c>
      <c r="I15" s="26" t="s">
        <v>142</v>
      </c>
    </row>
    <row r="16" spans="1:5" ht="14.25" thickBot="1">
      <c r="A16" s="33" t="s">
        <v>81</v>
      </c>
      <c r="E16" s="4"/>
    </row>
    <row r="17" spans="1:7" ht="18.75" customHeight="1" thickBot="1">
      <c r="A17" s="222" t="str">
        <f>$B$2</f>
        <v>クラウン・オヴ・スターズ</v>
      </c>
      <c r="B17" s="223"/>
      <c r="C17" s="224"/>
      <c r="D17" s="7" t="s">
        <v>4</v>
      </c>
      <c r="E17" s="70" t="s">
        <v>3</v>
      </c>
      <c r="F17" s="71" t="s">
        <v>58</v>
      </c>
      <c r="G17" s="17" t="s">
        <v>59</v>
      </c>
    </row>
    <row r="18" spans="1:7" ht="38.25" customHeight="1">
      <c r="A18" s="166" t="s">
        <v>1</v>
      </c>
      <c r="B18" s="8" t="s">
        <v>68</v>
      </c>
      <c r="C18" s="35" t="str">
        <f>$J$10</f>
        <v>反応</v>
      </c>
      <c r="D18" s="9" t="str">
        <f>"呪 + "&amp;$M$10+$I$6&amp;"+1d20"&amp;IF($I$4=1," ※","")</f>
        <v>呪 + 18+1d20 ※</v>
      </c>
      <c r="E18" s="9" t="str">
        <f>"呪 + "&amp;$M$10+2+$I$6&amp;"+1d20"&amp;IF($I$4=1," ※","")</f>
        <v>呪 + 20+1d20 ※</v>
      </c>
      <c r="F18" s="9" t="str">
        <f>"呪 + "&amp;$M$10+$I$6+3&amp;"+1d20"&amp;" ※"</f>
        <v>呪 + 21+1d20 ※</v>
      </c>
      <c r="G18" s="64" t="str">
        <f>"呪 + "&amp;$M$10+$I$6+5&amp;"+1d20"&amp;" ※"</f>
        <v>呪 + 23+1d20 ※</v>
      </c>
    </row>
    <row r="19" spans="1:7" ht="24.75" customHeight="1">
      <c r="A19" s="167"/>
      <c r="B19" s="169" t="s">
        <v>7</v>
      </c>
      <c r="C19" s="10" t="str">
        <f>IF($I$15=0,"",$I$15)</f>
        <v>光輝</v>
      </c>
      <c r="D19" s="11" t="str">
        <f>$M$12+IF($I15="光輝",3,0)+$I$7&amp;"+"&amp;$I$12&amp;"d"&amp;$K$12</f>
        <v>15+2d12</v>
      </c>
      <c r="E19" s="11" t="str">
        <f>$M$12+IF($I15="光輝",3,0)+$I$7&amp;"+"&amp;$I$12&amp;"d"&amp;$K$12</f>
        <v>15+2d12</v>
      </c>
      <c r="F19" s="11" t="str">
        <f>$M$12+IF($I15="光輝",3,0)+$I$7&amp;"+"&amp;$I$12&amp;"d"&amp;$K$12&amp;IF($I$5=1," ★","")</f>
        <v>15+2d12 ★</v>
      </c>
      <c r="G19" s="65" t="str">
        <f>$M$12+IF($I15="光輝",3,0)+$I$7&amp;"+"&amp;$I$12&amp;"d"&amp;$K$12&amp;IF($I$5=1," ★","")</f>
        <v>15+2d12 ★</v>
      </c>
    </row>
    <row r="20" spans="1:11" ht="24.75" customHeight="1">
      <c r="A20" s="167"/>
      <c r="B20" s="170"/>
      <c r="C20" s="19" t="s">
        <v>2</v>
      </c>
      <c r="D20" s="16" t="str">
        <f>$M$12+IF($I15="光輝",3,0)+$I$7&amp;"+"&amp;$I$12&amp;"d"&amp;$K$12&amp;"+"&amp;$I$14&amp;"d"&amp;$K$14</f>
        <v>15+2d12+2d8</v>
      </c>
      <c r="E20" s="16" t="str">
        <f>$M$12+IF($I15="光輝",3,0)+$I$7&amp;"+"&amp;$I$12&amp;"d"&amp;$K$12&amp;"+"&amp;$I$14&amp;"d"&amp;$K$14</f>
        <v>15+2d12+2d8</v>
      </c>
      <c r="F20" s="16" t="str">
        <f>$M$12+IF($I15="光輝",3,0)+$I$7&amp;"+"&amp;$I$12&amp;"d"&amp;$K$12&amp;"+"&amp;$I$14&amp;"d"&amp;$K$14&amp;IF($I$5=1," ★","")</f>
        <v>15+2d12+2d8 ★</v>
      </c>
      <c r="G20" s="66" t="str">
        <f>$M$12+IF($I15="光輝",3,0)+$I$7&amp;"+"&amp;$I$12&amp;"d"&amp;$K$12&amp;"+"&amp;$I$14&amp;"d"&amp;$K$14&amp;IF($I$5=1," ★","")</f>
        <v>15+2d12+2d8 ★</v>
      </c>
      <c r="I20"/>
      <c r="J20"/>
      <c r="K20"/>
    </row>
    <row r="21" spans="1:11" ht="24.75" customHeight="1">
      <c r="A21" s="167"/>
      <c r="B21" s="141" t="s">
        <v>6</v>
      </c>
      <c r="C21" s="13" t="str">
        <f>IF($I$15=0,"",$I$15)</f>
        <v>光輝</v>
      </c>
      <c r="D21" s="14" t="str">
        <f>($I$12*$K$12)+$M$12+IF($I15="光輝",3,0)+$I$7&amp;"+"&amp;$I$13&amp;"d"&amp;$K$13</f>
        <v>39+3d10</v>
      </c>
      <c r="E21" s="14" t="str">
        <f>($I$12*$K$12)+$M$12+IF($I15="光輝",3,0)+$I$7&amp;"+"&amp;$I$13&amp;"d"&amp;$K$13</f>
        <v>39+3d10</v>
      </c>
      <c r="F21" s="14" t="str">
        <f>($I$12*$K$12)+$M$12+IF($I15="光輝",3,0)+$I$7&amp;"+"&amp;$I$13&amp;"d"&amp;$K$13&amp;IF($I$5=1," ★","")</f>
        <v>39+3d10 ★</v>
      </c>
      <c r="G21" s="67" t="str">
        <f>($I$12*$K$12)+$M$12+IF($I15="光輝",3,0)+$I$7&amp;"+"&amp;$I$13&amp;"d"&amp;$K$13&amp;IF($I$5=1," ★","")</f>
        <v>39+3d10 ★</v>
      </c>
      <c r="I21"/>
      <c r="J21"/>
      <c r="K21"/>
    </row>
    <row r="22" spans="1:11" ht="24.75" customHeight="1" thickBot="1">
      <c r="A22" s="168"/>
      <c r="B22" s="142"/>
      <c r="C22" s="18" t="s">
        <v>2</v>
      </c>
      <c r="D22" s="15" t="str">
        <f>($I$12*$K$12)+$M$12+IF($I15="光輝",3,0)+$I$7+($I$14*$K$14)&amp;"+"&amp;$I$13&amp;"d"&amp;$K$13</f>
        <v>55+3d10</v>
      </c>
      <c r="E22" s="15" t="str">
        <f>($I$12*$K$12)+$M$12+IF($I15="光輝",3,0)+$I$7+($I$14*$K$14)&amp;"+"&amp;$I$13&amp;"d"&amp;$K$13</f>
        <v>55+3d10</v>
      </c>
      <c r="F22" s="15" t="str">
        <f>($I$12*$K$12)+$M$12+IF($I15="光輝",3,0)+$I$7+($I$14*$K$14)&amp;"+"&amp;$I$13&amp;"d"&amp;$K$13&amp;IF($I$5=1," ★","")</f>
        <v>55+3d10 ★</v>
      </c>
      <c r="G22" s="68" t="str">
        <f>($I$12*$K$12)+$M$12+IF($I15="光輝",3,0)+$I$7+($I$14*$K$14)&amp;"+"&amp;$I$13&amp;"d"&amp;$K$13&amp;IF($I$5=1," ★","")</f>
        <v>55+3d10 ★</v>
      </c>
      <c r="I22"/>
      <c r="J22"/>
      <c r="K22"/>
    </row>
    <row r="23" spans="1:11" ht="38.25" customHeight="1">
      <c r="A23" s="180" t="s">
        <v>5</v>
      </c>
      <c r="B23" s="8" t="s">
        <v>68</v>
      </c>
      <c r="C23" s="35" t="str">
        <f>$J$10</f>
        <v>反応</v>
      </c>
      <c r="D23" s="9" t="str">
        <f>"呪 + "&amp;$M$10+$I$6+1&amp;"+1d20"&amp;IF($I$4=1," ※","")</f>
        <v>呪 + 19+1d20 ※</v>
      </c>
      <c r="E23" s="9" t="str">
        <f>"呪 + "&amp;$M$10+$I$6+3&amp;"+1d20"&amp;IF($I$4=1," ※","")</f>
        <v>呪 + 21+1d20 ※</v>
      </c>
      <c r="F23" s="9" t="str">
        <f>"呪 + "&amp;$M$10+$I$6+4&amp;"+1d20"&amp;" ※"</f>
        <v>呪 + 22+1d20 ※</v>
      </c>
      <c r="G23" s="64" t="str">
        <f>"呪 + "&amp;$M$10+$I$6+5+1&amp;"+1d20"&amp;" ※"</f>
        <v>呪 + 24+1d20 ※</v>
      </c>
      <c r="I23"/>
      <c r="J23"/>
      <c r="K23"/>
    </row>
    <row r="24" spans="1:11" ht="24" customHeight="1">
      <c r="A24" s="181"/>
      <c r="B24" s="169" t="s">
        <v>7</v>
      </c>
      <c r="C24" s="12" t="str">
        <f>IF($I$15=0,"",$I$15)</f>
        <v>光輝</v>
      </c>
      <c r="D24" s="11" t="str">
        <f>$M$12+IF($I15="光輝",3,0)+$I$7+5&amp;"+"&amp;$I$12&amp;$J$12&amp;$K$12</f>
        <v>20+2d12</v>
      </c>
      <c r="E24" s="11" t="str">
        <f>$M$12+IF($I15="光輝",3,0)+$I$7+5&amp;"+"&amp;$I$12&amp;$J$12&amp;$K$12</f>
        <v>20+2d12</v>
      </c>
      <c r="F24" s="11" t="str">
        <f>$M$12+IF($I15="光輝",3,0)+$I$7+5&amp;"+"&amp;$I$12&amp;$J$12&amp;$K$12&amp;IF($I$5=1," ★","")</f>
        <v>20+2d12 ★</v>
      </c>
      <c r="G24" s="65" t="str">
        <f>$M$12+IF($I15="光輝",3,0)+$I$7+5&amp;"+"&amp;$I$12&amp;$J$12&amp;$K$12&amp;IF($I$5=1," ★","")</f>
        <v>20+2d12 ★</v>
      </c>
      <c r="I24"/>
      <c r="J24"/>
      <c r="K24"/>
    </row>
    <row r="25" spans="1:11" ht="24" customHeight="1">
      <c r="A25" s="181"/>
      <c r="B25" s="170"/>
      <c r="C25" s="19" t="s">
        <v>2</v>
      </c>
      <c r="D25" s="16" t="str">
        <f>$M$12+IF($I15="光輝",3,0)+$I$7+5&amp;"+"&amp;$I$12&amp;"d"&amp;$K$12&amp;"+"&amp;$I$14&amp;"d"&amp;$K$14</f>
        <v>20+2d12+2d8</v>
      </c>
      <c r="E25" s="16" t="str">
        <f>$M$12+IF($I15="光輝",3,0)+$I$7+5&amp;"+"&amp;$I$12&amp;"d"&amp;$K$12&amp;"+"&amp;$I$14&amp;"d"&amp;$K$14</f>
        <v>20+2d12+2d8</v>
      </c>
      <c r="F25" s="16" t="str">
        <f>$M$12+IF($I15="光輝",3,0)+$I$7+5&amp;"+"&amp;$I$12&amp;"d"&amp;$K$12&amp;"+"&amp;$I$14&amp;"d"&amp;$K$14&amp;IF($I$5=1," ★","")</f>
        <v>20+2d12+2d8 ★</v>
      </c>
      <c r="G25" s="66" t="str">
        <f>$M$12+IF($I15="光輝",3,0)+$I$7+5&amp;"+"&amp;$I$12&amp;"d"&amp;$K$12&amp;"+"&amp;$I$14&amp;"d"&amp;$K$14&amp;IF($I$5=1," ★","")</f>
        <v>20+2d12+2d8 ★</v>
      </c>
      <c r="I25"/>
      <c r="J25"/>
      <c r="K25"/>
    </row>
    <row r="26" spans="1:11" ht="24" customHeight="1">
      <c r="A26" s="181"/>
      <c r="B26" s="141" t="s">
        <v>6</v>
      </c>
      <c r="C26" s="13" t="str">
        <f>IF($I$15=0,"",$I$15)</f>
        <v>光輝</v>
      </c>
      <c r="D26" s="14" t="str">
        <f>($I$12*$K$12)+5+$M$12+IF($I15="光輝",3,0)+$I$7&amp;"+"&amp;$I$13&amp;"d"&amp;$K$13</f>
        <v>44+3d10</v>
      </c>
      <c r="E26" s="14" t="str">
        <f>($I$12*$K$12)+5+$M$12+IF($I15="光輝",3,0)+$I$7&amp;"+"&amp;$I$13&amp;"d"&amp;$K$13</f>
        <v>44+3d10</v>
      </c>
      <c r="F26" s="14" t="str">
        <f>($I$12*$K$12)+5+$M$12+IF($I15="光輝",3,0)+$I$7&amp;"+"&amp;$I$13&amp;"d"&amp;$K$13&amp;IF($I$5=1," ★","")</f>
        <v>44+3d10 ★</v>
      </c>
      <c r="G26" s="67" t="str">
        <f>($I$12*$K$12)+5+$M$12+IF($I15="光輝",3,0)+$I$7&amp;"+"&amp;$I$13&amp;"d"&amp;$K$13&amp;IF($I$5=1," ★","")</f>
        <v>44+3d10 ★</v>
      </c>
      <c r="I26"/>
      <c r="J26"/>
      <c r="K26"/>
    </row>
    <row r="27" spans="1:11" ht="24" customHeight="1" thickBot="1">
      <c r="A27" s="182"/>
      <c r="B27" s="142"/>
      <c r="C27" s="18" t="s">
        <v>2</v>
      </c>
      <c r="D27" s="15" t="str">
        <f>($I$12*$K$12)+5+$M$12+IF($I15="光輝",3,0)+$I$7+($I$14*$K$14)&amp;"+"&amp;$I$13&amp;"d"&amp;$K$13</f>
        <v>60+3d10</v>
      </c>
      <c r="E27" s="15" t="str">
        <f>($I$12*$K$12)+5+$M$12+IF($I15="光輝",3,0)+$I$7+($I$14*$K$14)&amp;"+"&amp;$I$13&amp;"d"&amp;$K$13</f>
        <v>60+3d10</v>
      </c>
      <c r="F27" s="15" t="str">
        <f>($I$12*$K$12)+5+$M$12+IF($I15="光輝",3,0)+$I$7+($I$14*$K$14)&amp;"+"&amp;$I$13&amp;"d"&amp;$K$13&amp;IF($I$5=1," ★","")</f>
        <v>60+3d10 ★</v>
      </c>
      <c r="G27" s="68" t="str">
        <f>($I$12*$K$12)+5+$M$12+IF($I15="光輝",3,0)+$I$7+($I$14*$K$14)&amp;"+"&amp;$I$13&amp;"d"&amp;$K$13&amp;IF($I$5=1," ★","")</f>
        <v>60+3d10 ★</v>
      </c>
      <c r="I27"/>
      <c r="J27"/>
      <c r="K27"/>
    </row>
    <row r="28" spans="1:11" ht="20.25" customHeight="1">
      <c r="A28" s="183" t="s">
        <v>77</v>
      </c>
      <c r="B28" s="183"/>
      <c r="C28" s="183"/>
      <c r="D28" s="183"/>
      <c r="E28" s="183"/>
      <c r="F28" s="183"/>
      <c r="G28" s="183"/>
      <c r="I28"/>
      <c r="J28"/>
      <c r="K28"/>
    </row>
    <row r="29" spans="1:11" ht="18.75">
      <c r="A29" s="171" t="s">
        <v>235</v>
      </c>
      <c r="B29" s="171"/>
      <c r="C29" s="171"/>
      <c r="D29" s="171"/>
      <c r="E29" s="171"/>
      <c r="F29" s="171"/>
      <c r="G29" s="171"/>
      <c r="I29"/>
      <c r="J29"/>
      <c r="K29"/>
    </row>
    <row r="30" spans="1:11" ht="6.75" customHeight="1">
      <c r="A30" s="122"/>
      <c r="B30" s="122"/>
      <c r="C30" s="122"/>
      <c r="D30" s="122"/>
      <c r="E30" s="122"/>
      <c r="F30" s="122"/>
      <c r="G30" s="122"/>
      <c r="I30"/>
      <c r="J30"/>
      <c r="K30"/>
    </row>
    <row r="31" spans="1:7" ht="13.5">
      <c r="A31" s="172" t="s">
        <v>238</v>
      </c>
      <c r="B31" s="172"/>
      <c r="C31" s="172"/>
      <c r="D31" s="172"/>
      <c r="E31" s="172"/>
      <c r="F31" s="172"/>
      <c r="G31" s="172"/>
    </row>
    <row r="32" spans="1:7" ht="13.5">
      <c r="A32" s="171" t="s">
        <v>239</v>
      </c>
      <c r="B32" s="171"/>
      <c r="C32" s="171"/>
      <c r="D32" s="171"/>
      <c r="E32" s="171"/>
      <c r="F32" s="171"/>
      <c r="G32" s="171"/>
    </row>
    <row r="33" spans="1:7" ht="13.5">
      <c r="A33" s="171" t="s">
        <v>237</v>
      </c>
      <c r="B33" s="171"/>
      <c r="C33" s="171"/>
      <c r="D33" s="171"/>
      <c r="E33" s="171"/>
      <c r="F33" s="171"/>
      <c r="G33" s="171"/>
    </row>
    <row r="34" spans="1:11" ht="13.5">
      <c r="A34" s="176" t="s">
        <v>78</v>
      </c>
      <c r="B34" s="176"/>
      <c r="C34" s="176"/>
      <c r="D34" s="176"/>
      <c r="E34" s="176"/>
      <c r="F34" s="176"/>
      <c r="G34" s="176"/>
      <c r="I34"/>
      <c r="J34"/>
      <c r="K34"/>
    </row>
    <row r="35" spans="1:7" ht="17.25">
      <c r="A35" s="171" t="s">
        <v>84</v>
      </c>
      <c r="B35" s="171"/>
      <c r="C35" s="171"/>
      <c r="D35" s="171"/>
      <c r="E35" s="171"/>
      <c r="F35" s="171"/>
      <c r="G35" s="171"/>
    </row>
    <row r="36" spans="1:7" ht="13.5">
      <c r="A36" s="144" t="s">
        <v>65</v>
      </c>
      <c r="B36" s="144"/>
      <c r="C36" s="144"/>
      <c r="D36" s="144"/>
      <c r="E36" s="144"/>
      <c r="F36" s="144"/>
      <c r="G36" s="144"/>
    </row>
    <row r="37" spans="1:7" ht="6.75" customHeight="1">
      <c r="A37" s="120"/>
      <c r="B37" s="120"/>
      <c r="C37" s="120"/>
      <c r="D37" s="120"/>
      <c r="E37" s="120"/>
      <c r="F37" s="120"/>
      <c r="G37" s="120"/>
    </row>
    <row r="38" spans="1:11" ht="13.5">
      <c r="A38" s="172" t="s">
        <v>196</v>
      </c>
      <c r="B38" s="172"/>
      <c r="C38" s="172"/>
      <c r="D38" s="172"/>
      <c r="E38" s="172"/>
      <c r="F38" s="172"/>
      <c r="G38" s="172"/>
      <c r="I38"/>
      <c r="J38"/>
      <c r="K38"/>
    </row>
    <row r="39" spans="1:7" ht="17.25">
      <c r="A39" s="171" t="s">
        <v>197</v>
      </c>
      <c r="B39" s="171"/>
      <c r="C39" s="171"/>
      <c r="D39" s="171"/>
      <c r="E39" s="171"/>
      <c r="F39" s="171"/>
      <c r="G39" s="171"/>
    </row>
    <row r="40" spans="1:7" ht="17.25">
      <c r="A40" s="144" t="s">
        <v>198</v>
      </c>
      <c r="B40" s="144"/>
      <c r="C40" s="144"/>
      <c r="D40" s="144"/>
      <c r="E40" s="144"/>
      <c r="F40" s="144"/>
      <c r="G40" s="144"/>
    </row>
    <row r="41" spans="1:11" s="61" customFormat="1" ht="7.5" customHeight="1">
      <c r="A41" s="149"/>
      <c r="B41" s="149"/>
      <c r="C41" s="149"/>
      <c r="D41" s="149"/>
      <c r="E41" s="149"/>
      <c r="F41" s="149"/>
      <c r="G41" s="149"/>
      <c r="H41" s="62"/>
      <c r="I41" s="62"/>
      <c r="J41" s="62"/>
      <c r="K41" s="62"/>
    </row>
    <row r="42" spans="1:7" ht="13.5">
      <c r="A42" s="177" t="s">
        <v>83</v>
      </c>
      <c r="B42" s="178"/>
      <c r="C42" s="178"/>
      <c r="D42" s="178"/>
      <c r="E42" s="178"/>
      <c r="F42" s="178"/>
      <c r="G42" s="179"/>
    </row>
    <row r="43" spans="1:7" ht="4.5" customHeight="1">
      <c r="A43" s="146"/>
      <c r="B43" s="144"/>
      <c r="C43" s="144"/>
      <c r="D43" s="144"/>
      <c r="E43" s="144"/>
      <c r="F43" s="144"/>
      <c r="G43" s="145"/>
    </row>
    <row r="44" spans="1:7" ht="13.5">
      <c r="A44" s="146" t="s">
        <v>208</v>
      </c>
      <c r="B44" s="144"/>
      <c r="C44" s="144"/>
      <c r="D44" s="144"/>
      <c r="E44" s="144"/>
      <c r="F44" s="144"/>
      <c r="G44" s="145"/>
    </row>
    <row r="45" spans="1:7" ht="13.5">
      <c r="A45" s="146" t="s">
        <v>263</v>
      </c>
      <c r="B45" s="144"/>
      <c r="C45" s="144"/>
      <c r="D45" s="144"/>
      <c r="E45" s="144"/>
      <c r="F45" s="144"/>
      <c r="G45" s="145"/>
    </row>
    <row r="46" spans="1:7" ht="17.25">
      <c r="A46" s="232" t="s">
        <v>264</v>
      </c>
      <c r="B46" s="233"/>
      <c r="C46" s="233"/>
      <c r="D46" s="233"/>
      <c r="E46" s="233"/>
      <c r="F46" s="233"/>
      <c r="G46" s="234"/>
    </row>
    <row r="47" spans="1:7" ht="13.5">
      <c r="A47" s="146" t="s">
        <v>262</v>
      </c>
      <c r="B47" s="144"/>
      <c r="C47" s="144"/>
      <c r="D47" s="144"/>
      <c r="E47" s="144"/>
      <c r="F47" s="144"/>
      <c r="G47" s="145"/>
    </row>
    <row r="48" spans="1:7" ht="13.5">
      <c r="A48" s="146" t="s">
        <v>265</v>
      </c>
      <c r="B48" s="144"/>
      <c r="C48" s="144"/>
      <c r="D48" s="144"/>
      <c r="E48" s="144"/>
      <c r="F48" s="144"/>
      <c r="G48" s="145"/>
    </row>
    <row r="49" spans="1:7" ht="13.5">
      <c r="A49" s="146" t="s">
        <v>266</v>
      </c>
      <c r="B49" s="144"/>
      <c r="C49" s="144"/>
      <c r="D49" s="144"/>
      <c r="E49" s="144"/>
      <c r="F49" s="144"/>
      <c r="G49" s="145"/>
    </row>
    <row r="50" spans="1:7" ht="7.5" customHeight="1">
      <c r="A50" s="146"/>
      <c r="B50" s="144"/>
      <c r="C50" s="144"/>
      <c r="D50" s="144"/>
      <c r="E50" s="144"/>
      <c r="F50" s="144"/>
      <c r="G50" s="145"/>
    </row>
    <row r="51" spans="1:7" ht="13.5">
      <c r="A51" s="146" t="s">
        <v>267</v>
      </c>
      <c r="B51" s="144"/>
      <c r="C51" s="144"/>
      <c r="D51" s="144"/>
      <c r="E51" s="144"/>
      <c r="F51" s="144"/>
      <c r="G51" s="145"/>
    </row>
    <row r="52" spans="1:7" ht="4.5" customHeight="1">
      <c r="A52" s="123"/>
      <c r="B52" s="124"/>
      <c r="C52" s="124"/>
      <c r="D52" s="124"/>
      <c r="E52" s="124"/>
      <c r="F52" s="124"/>
      <c r="G52" s="125"/>
    </row>
    <row r="53" spans="1:7" ht="21">
      <c r="A53" s="76" t="s">
        <v>43</v>
      </c>
      <c r="B53" s="77">
        <f>$B$1</f>
        <v>1</v>
      </c>
      <c r="C53" s="78" t="s">
        <v>60</v>
      </c>
      <c r="D53" s="79" t="str">
        <f>$E$1</f>
        <v>一日毎</v>
      </c>
      <c r="E53" s="225" t="str">
        <f>$B$2</f>
        <v>クラウン・オヴ・スターズ</v>
      </c>
      <c r="F53" s="226"/>
      <c r="G53" s="227"/>
    </row>
  </sheetData>
  <sheetProtection/>
  <mergeCells count="46">
    <mergeCell ref="A32:G32"/>
    <mergeCell ref="A35:G35"/>
    <mergeCell ref="A36:G36"/>
    <mergeCell ref="A38:G38"/>
    <mergeCell ref="A39:G39"/>
    <mergeCell ref="A40:G40"/>
    <mergeCell ref="A44:G44"/>
    <mergeCell ref="A51:G51"/>
    <mergeCell ref="A46:G46"/>
    <mergeCell ref="A47:G47"/>
    <mergeCell ref="A48:G48"/>
    <mergeCell ref="A49:G49"/>
    <mergeCell ref="A50:G50"/>
    <mergeCell ref="A42:G42"/>
    <mergeCell ref="A43:G43"/>
    <mergeCell ref="A18:A22"/>
    <mergeCell ref="B19:B20"/>
    <mergeCell ref="B21:B22"/>
    <mergeCell ref="A28:G28"/>
    <mergeCell ref="A29:G29"/>
    <mergeCell ref="A33:G33"/>
    <mergeCell ref="A34:G34"/>
    <mergeCell ref="A41:G41"/>
    <mergeCell ref="B8:G8"/>
    <mergeCell ref="B9:G9"/>
    <mergeCell ref="B12:G12"/>
    <mergeCell ref="B13:G13"/>
    <mergeCell ref="B14:G14"/>
    <mergeCell ref="B15:G15"/>
    <mergeCell ref="A17:C17"/>
    <mergeCell ref="E53:G53"/>
    <mergeCell ref="H11:H12"/>
    <mergeCell ref="B10:G10"/>
    <mergeCell ref="B11:G11"/>
    <mergeCell ref="A45:G45"/>
    <mergeCell ref="A23:A27"/>
    <mergeCell ref="B24:B25"/>
    <mergeCell ref="B26:B27"/>
    <mergeCell ref="A31:G31"/>
    <mergeCell ref="B7:G7"/>
    <mergeCell ref="B1:C1"/>
    <mergeCell ref="F1:G1"/>
    <mergeCell ref="B2:G2"/>
    <mergeCell ref="B4:G4"/>
    <mergeCell ref="B5:G5"/>
    <mergeCell ref="B6:D6"/>
  </mergeCells>
  <conditionalFormatting sqref="F6">
    <cfRule type="cellIs" priority="1" dxfId="22" operator="notEqual" stopIfTrue="1">
      <formula>"遠隔"</formula>
    </cfRule>
    <cfRule type="cellIs" priority="2" dxfId="0" operator="notEqual" stopIfTrue="1">
      <formula>"遠隔"</formula>
    </cfRule>
  </conditionalFormatting>
  <printOptions/>
  <pageMargins left="0.7086614173228347" right="0.7086614173228347" top="0.7480314960629921" bottom="0.1968503937007874" header="0.31496062992125984" footer="0.31496062992125984"/>
  <pageSetup horizontalDpi="300" verticalDpi="300" orientation="portrait" paperSize="9" r:id="rId1"/>
  <headerFooter>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CAMEL</dc:creator>
  <cp:keywords/>
  <dc:description/>
  <cp:lastModifiedBy>CAMEL</cp:lastModifiedBy>
  <cp:lastPrinted>2013-02-07T10:43:36Z</cp:lastPrinted>
  <dcterms:created xsi:type="dcterms:W3CDTF">2012-08-09T16:34:12Z</dcterms:created>
  <dcterms:modified xsi:type="dcterms:W3CDTF">2013-02-21T04:14:10Z</dcterms:modified>
  <cp:category/>
  <cp:version/>
  <cp:contentType/>
  <cp:contentStatus/>
</cp:coreProperties>
</file>