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075" windowHeight="11655" tabRatio="693" activeTab="1"/>
  </bookViews>
  <sheets>
    <sheet name="基本" sheetId="2" r:id="rId1"/>
    <sheet name="エルドリッチ・ブラスト" sheetId="4" r:id="rId2"/>
    <sheet name="ダイア・レイディアンス" sheetId="5" r:id="rId3"/>
    <sheet name="ドラゴンフロスト" sheetId="6" r:id="rId4"/>
    <sheet name="グロウ・オヴ・ウルバン" sheetId="7" r:id="rId5"/>
    <sheet name="ファー・レルム・ファンタズム" sheetId="11" r:id="rId6"/>
    <sheet name="トランス・イン・ザ・ガイド・スター" sheetId="12" r:id="rId7"/>
    <sheet name="ブレイズ･オブ･ウルバン" sheetId="13" r:id="rId8"/>
    <sheet name="クラウン・オヴ・スターズ" sheetId="8" r:id="rId9"/>
    <sheet name="クラウン・オヴ・スターズ (維持)" sheetId="14" r:id="rId10"/>
    <sheet name="フューリィ・オヴ・ギベス" sheetId="9" r:id="rId11"/>
    <sheet name="リング･オブ･ペイン" sheetId="10" r:id="rId12"/>
  </sheets>
  <definedNames>
    <definedName name="_xlnm.Print_Area" localSheetId="1">エルドリッチ・ブラスト!$A$1:$G$44</definedName>
    <definedName name="_xlnm.Print_Area" localSheetId="8">クラウン・オヴ・スターズ!$A$1:$G$44</definedName>
    <definedName name="_xlnm.Print_Area" localSheetId="9">'クラウン・オヴ・スターズ (維持)'!$A$1:$G$44</definedName>
    <definedName name="_xlnm.Print_Area" localSheetId="4">グロウ・オヴ・ウルバン!$A$1:$G$44</definedName>
    <definedName name="_xlnm.Print_Area" localSheetId="2">ダイア・レイディアンス!$A$1:$G$44</definedName>
    <definedName name="_xlnm.Print_Area" localSheetId="3">ドラゴンフロスト!$A$1:$G$44</definedName>
    <definedName name="_xlnm.Print_Area" localSheetId="6">トランス・イン・ザ・ガイド・スター!$A$1:$G$44</definedName>
    <definedName name="_xlnm.Print_Area" localSheetId="5">ファー・レルム・ファンタズム!$A$1:$G$44</definedName>
    <definedName name="_xlnm.Print_Area" localSheetId="10">フューリィ・オヴ・ギベス!$A$1:$G$44</definedName>
    <definedName name="_xlnm.Print_Area" localSheetId="7">ブレイズ･オブ･ウルバン!$A$1:$G$44</definedName>
    <definedName name="_xlnm.Print_Area" localSheetId="11">リング･オブ･ペイン!$A$1:$G$44</definedName>
  </definedNames>
  <calcPr calcId="145621"/>
</workbook>
</file>

<file path=xl/calcChain.xml><?xml version="1.0" encoding="utf-8"?>
<calcChain xmlns="http://schemas.openxmlformats.org/spreadsheetml/2006/main">
  <c r="E44" i="4" l="1"/>
  <c r="D44" i="4"/>
  <c r="B44" i="4"/>
  <c r="E44" i="5"/>
  <c r="D44" i="5"/>
  <c r="B44" i="5"/>
  <c r="E44" i="6"/>
  <c r="D44" i="6"/>
  <c r="B44" i="6"/>
  <c r="E44" i="7"/>
  <c r="D44" i="7"/>
  <c r="B44" i="7"/>
  <c r="E44" i="11"/>
  <c r="D44" i="11"/>
  <c r="B44" i="11"/>
  <c r="E44" i="12"/>
  <c r="D44" i="12"/>
  <c r="B44" i="12"/>
  <c r="E44" i="13"/>
  <c r="D44" i="13"/>
  <c r="B44" i="13"/>
  <c r="E44" i="8"/>
  <c r="D44" i="8"/>
  <c r="B44" i="8"/>
  <c r="E44" i="14"/>
  <c r="D44" i="14"/>
  <c r="B44" i="14"/>
  <c r="E44" i="9"/>
  <c r="D44" i="9"/>
  <c r="B44" i="9"/>
  <c r="E44" i="10" l="1"/>
  <c r="D44" i="10"/>
  <c r="B44" i="10"/>
  <c r="B14" i="5"/>
  <c r="D20" i="5"/>
  <c r="D19" i="5"/>
  <c r="E27" i="14"/>
  <c r="D27" i="14"/>
  <c r="E26" i="14"/>
  <c r="D26" i="14"/>
  <c r="E25" i="14"/>
  <c r="D25" i="14"/>
  <c r="E24" i="14"/>
  <c r="D24" i="14"/>
  <c r="E22" i="14"/>
  <c r="D22" i="14"/>
  <c r="D20" i="14"/>
  <c r="D21" i="14"/>
  <c r="E21" i="14"/>
  <c r="D21" i="8"/>
  <c r="E20" i="14"/>
  <c r="E19" i="14"/>
  <c r="D19" i="14"/>
  <c r="K11" i="5"/>
  <c r="K11" i="6"/>
  <c r="K11" i="7"/>
  <c r="K11" i="11"/>
  <c r="K11" i="12"/>
  <c r="K11" i="13"/>
  <c r="K11" i="8"/>
  <c r="K11" i="14"/>
  <c r="K11" i="9"/>
  <c r="K11" i="10"/>
  <c r="K11" i="4"/>
  <c r="K10" i="5"/>
  <c r="K10" i="6"/>
  <c r="K10" i="7"/>
  <c r="K10" i="11"/>
  <c r="K10" i="12"/>
  <c r="K10" i="13"/>
  <c r="K10" i="8"/>
  <c r="K10" i="14"/>
  <c r="K10" i="9"/>
  <c r="K10" i="10"/>
  <c r="K10" i="4"/>
  <c r="F6" i="10" l="1"/>
  <c r="F6" i="9"/>
  <c r="F6" i="14"/>
  <c r="F6" i="8"/>
  <c r="F6" i="13"/>
  <c r="F6" i="12"/>
  <c r="F6" i="11"/>
  <c r="F6" i="7"/>
  <c r="F6" i="6"/>
  <c r="F6" i="5"/>
  <c r="D22" i="8"/>
  <c r="K13" i="14"/>
  <c r="I13" i="14"/>
  <c r="C23" i="14"/>
  <c r="C18" i="14"/>
  <c r="A17" i="14"/>
  <c r="K14" i="14"/>
  <c r="I14" i="14"/>
  <c r="M12" i="14"/>
  <c r="M10" i="14"/>
  <c r="G6" i="14"/>
  <c r="G6" i="10"/>
  <c r="G6" i="9"/>
  <c r="G6" i="8"/>
  <c r="G6" i="13"/>
  <c r="G6" i="12"/>
  <c r="G6" i="11"/>
  <c r="G6" i="7"/>
  <c r="G6" i="6"/>
  <c r="G6" i="4"/>
  <c r="F19" i="6"/>
  <c r="F23" i="6"/>
  <c r="G23" i="6"/>
  <c r="G18" i="6"/>
  <c r="F18" i="6"/>
  <c r="E18" i="6"/>
  <c r="E18" i="14" l="1"/>
  <c r="D18" i="14"/>
  <c r="D23" i="14"/>
  <c r="E23" i="14"/>
  <c r="C10" i="2"/>
  <c r="C9" i="2"/>
  <c r="C8" i="2"/>
  <c r="C7" i="2"/>
  <c r="C6" i="2"/>
  <c r="C5" i="2"/>
  <c r="K36" i="2" l="1"/>
  <c r="K14" i="4"/>
  <c r="I14" i="4"/>
  <c r="K13" i="4"/>
  <c r="I13" i="4"/>
  <c r="K27" i="2"/>
  <c r="K18" i="2"/>
  <c r="K9" i="2"/>
  <c r="C23" i="13" l="1"/>
  <c r="C18" i="13"/>
  <c r="A17" i="13"/>
  <c r="K14" i="13"/>
  <c r="I14" i="13"/>
  <c r="K13" i="13"/>
  <c r="I13" i="13"/>
  <c r="C23" i="12"/>
  <c r="C18" i="12"/>
  <c r="A17" i="12"/>
  <c r="K14" i="12"/>
  <c r="I14" i="12"/>
  <c r="K13" i="12"/>
  <c r="I13" i="12"/>
  <c r="C23" i="11"/>
  <c r="C18" i="11"/>
  <c r="A17" i="11"/>
  <c r="K14" i="11"/>
  <c r="I14" i="11"/>
  <c r="K13" i="11"/>
  <c r="I13" i="11"/>
  <c r="C23" i="10"/>
  <c r="C18" i="10"/>
  <c r="A17" i="10"/>
  <c r="K14" i="10"/>
  <c r="I14" i="10"/>
  <c r="K13" i="10"/>
  <c r="I13" i="10"/>
  <c r="C24" i="9"/>
  <c r="C18" i="9"/>
  <c r="A17" i="9"/>
  <c r="K14" i="9"/>
  <c r="I14" i="9"/>
  <c r="K13" i="9"/>
  <c r="I13" i="9"/>
  <c r="C23" i="8"/>
  <c r="C18" i="8"/>
  <c r="A17" i="8"/>
  <c r="K14" i="8"/>
  <c r="I14" i="8"/>
  <c r="K13" i="8"/>
  <c r="I13" i="8"/>
  <c r="G6" i="5"/>
  <c r="F6" i="4"/>
  <c r="C23" i="7"/>
  <c r="C18" i="7"/>
  <c r="A17" i="7"/>
  <c r="K14" i="7"/>
  <c r="I14" i="7"/>
  <c r="K13" i="7"/>
  <c r="I13" i="7"/>
  <c r="C23" i="6"/>
  <c r="C18" i="6"/>
  <c r="A17" i="6"/>
  <c r="K14" i="6"/>
  <c r="I14" i="6"/>
  <c r="K13" i="6"/>
  <c r="I13" i="6"/>
  <c r="C23" i="5"/>
  <c r="C18" i="5"/>
  <c r="A17" i="5"/>
  <c r="K14" i="5"/>
  <c r="I14" i="5"/>
  <c r="K13" i="5"/>
  <c r="I13" i="5"/>
  <c r="C23" i="4"/>
  <c r="C18" i="4"/>
  <c r="A17" i="4"/>
  <c r="I7" i="2" l="1"/>
  <c r="I34" i="2"/>
  <c r="G34" i="2" s="1"/>
  <c r="M10" i="9" s="1"/>
  <c r="I25" i="2"/>
  <c r="I16" i="2"/>
  <c r="H36" i="2"/>
  <c r="M12" i="9" s="1"/>
  <c r="J34" i="2"/>
  <c r="J7" i="2"/>
  <c r="G29" i="9" l="1"/>
  <c r="F26" i="9"/>
  <c r="E23" i="9"/>
  <c r="E21" i="9"/>
  <c r="E19" i="9"/>
  <c r="G28" i="9"/>
  <c r="G26" i="9"/>
  <c r="D23" i="9"/>
  <c r="D21" i="9"/>
  <c r="D19" i="9"/>
  <c r="G27" i="9"/>
  <c r="G25" i="9"/>
  <c r="D22" i="9"/>
  <c r="D20" i="9"/>
  <c r="F27" i="9"/>
  <c r="F25" i="9"/>
  <c r="E22" i="9"/>
  <c r="E20" i="9"/>
  <c r="E27" i="9"/>
  <c r="E25" i="9"/>
  <c r="F22" i="9"/>
  <c r="F20" i="9"/>
  <c r="D29" i="9"/>
  <c r="D27" i="9"/>
  <c r="D25" i="9"/>
  <c r="G22" i="9"/>
  <c r="G20" i="9"/>
  <c r="E29" i="9"/>
  <c r="D26" i="9"/>
  <c r="G23" i="9"/>
  <c r="G21" i="9"/>
  <c r="G19" i="9"/>
  <c r="F29" i="9"/>
  <c r="E26" i="9"/>
  <c r="F23" i="9"/>
  <c r="F21" i="9"/>
  <c r="F19" i="9"/>
  <c r="E28" i="9"/>
  <c r="F28" i="9"/>
  <c r="D28" i="9"/>
  <c r="G24" i="9"/>
  <c r="F24" i="9"/>
  <c r="E24" i="9"/>
  <c r="D24" i="9"/>
  <c r="F18" i="9"/>
  <c r="D18" i="9"/>
  <c r="G18" i="9"/>
  <c r="E18" i="9"/>
  <c r="H27" i="2"/>
  <c r="H18" i="2"/>
  <c r="M12" i="4" s="1"/>
  <c r="H9" i="2"/>
  <c r="J25" i="2"/>
  <c r="G25" i="2" s="1"/>
  <c r="J16" i="2"/>
  <c r="G16" i="2" s="1"/>
  <c r="G7" i="2"/>
  <c r="M10" i="4" l="1"/>
  <c r="M10" i="10"/>
  <c r="M10" i="12"/>
  <c r="M10" i="8"/>
  <c r="M10" i="7"/>
  <c r="M10" i="6"/>
  <c r="M10" i="5"/>
  <c r="M10" i="11"/>
  <c r="M10" i="13"/>
  <c r="E27" i="4"/>
  <c r="F19" i="4"/>
  <c r="D19" i="4"/>
  <c r="G25" i="4"/>
  <c r="E21" i="4"/>
  <c r="F21" i="4"/>
  <c r="F26" i="4"/>
  <c r="E26" i="4"/>
  <c r="F27" i="4"/>
  <c r="G20" i="4"/>
  <c r="F24" i="4"/>
  <c r="G26" i="4"/>
  <c r="E22" i="4"/>
  <c r="F25" i="4"/>
  <c r="D21" i="4"/>
  <c r="F20" i="4"/>
  <c r="D20" i="4"/>
  <c r="E24" i="4"/>
  <c r="E19" i="4"/>
  <c r="D22" i="4"/>
  <c r="E25" i="4"/>
  <c r="D26" i="4"/>
  <c r="G27" i="4"/>
  <c r="G24" i="4"/>
  <c r="D25" i="4"/>
  <c r="D24" i="4"/>
  <c r="F22" i="4"/>
  <c r="G22" i="4"/>
  <c r="E20" i="4"/>
  <c r="G21" i="4"/>
  <c r="G19" i="4"/>
  <c r="D27" i="4"/>
  <c r="M12" i="10"/>
  <c r="M12" i="13"/>
  <c r="M12" i="7"/>
  <c r="M12" i="8"/>
  <c r="M12" i="11"/>
  <c r="M12" i="12"/>
  <c r="M12" i="6"/>
  <c r="M12" i="5"/>
  <c r="F23" i="13" l="1"/>
  <c r="D18" i="13"/>
  <c r="E18" i="13"/>
  <c r="E23" i="13"/>
  <c r="D23" i="13"/>
  <c r="G18" i="13"/>
  <c r="F18" i="13"/>
  <c r="G23" i="13"/>
  <c r="F23" i="5"/>
  <c r="G18" i="5"/>
  <c r="F18" i="5"/>
  <c r="E18" i="5"/>
  <c r="D18" i="5"/>
  <c r="G23" i="5"/>
  <c r="E23" i="5"/>
  <c r="D23" i="5"/>
  <c r="E23" i="6"/>
  <c r="D18" i="6"/>
  <c r="D23" i="6"/>
  <c r="G23" i="7"/>
  <c r="D23" i="7"/>
  <c r="F23" i="7"/>
  <c r="G18" i="7"/>
  <c r="E23" i="7"/>
  <c r="F18" i="7"/>
  <c r="E18" i="7"/>
  <c r="D18" i="7"/>
  <c r="E23" i="8"/>
  <c r="D23" i="8"/>
  <c r="G18" i="8"/>
  <c r="E18" i="8"/>
  <c r="G23" i="8"/>
  <c r="F23" i="8"/>
  <c r="F18" i="8"/>
  <c r="D18" i="8"/>
  <c r="D23" i="12"/>
  <c r="E18" i="12"/>
  <c r="F23" i="12"/>
  <c r="D18" i="12"/>
  <c r="G23" i="12"/>
  <c r="E23" i="12"/>
  <c r="G18" i="12"/>
  <c r="F18" i="12"/>
  <c r="D23" i="11"/>
  <c r="F23" i="11"/>
  <c r="G23" i="11"/>
  <c r="G18" i="11"/>
  <c r="E23" i="11"/>
  <c r="F18" i="11"/>
  <c r="E18" i="11"/>
  <c r="D18" i="11"/>
  <c r="F23" i="10"/>
  <c r="E18" i="10"/>
  <c r="G18" i="10"/>
  <c r="F18" i="10"/>
  <c r="D23" i="10"/>
  <c r="G23" i="10"/>
  <c r="E23" i="10"/>
  <c r="D18" i="10"/>
  <c r="D18" i="4"/>
  <c r="E18" i="4"/>
  <c r="G23" i="4"/>
  <c r="G18" i="4"/>
  <c r="F18" i="4"/>
  <c r="E23" i="4"/>
  <c r="F23" i="4"/>
  <c r="D23" i="4"/>
  <c r="G27" i="12"/>
  <c r="D26" i="12"/>
  <c r="G25" i="12"/>
  <c r="D24" i="12"/>
  <c r="G22" i="12"/>
  <c r="D21" i="12"/>
  <c r="G20" i="12"/>
  <c r="D19" i="12"/>
  <c r="D27" i="12"/>
  <c r="E27" i="12"/>
  <c r="F27" i="12"/>
  <c r="D22" i="12"/>
  <c r="E22" i="12"/>
  <c r="F22" i="12"/>
  <c r="G24" i="12"/>
  <c r="F24" i="12"/>
  <c r="E24" i="12"/>
  <c r="G19" i="12"/>
  <c r="D25" i="12"/>
  <c r="E25" i="12"/>
  <c r="F25" i="12"/>
  <c r="E26" i="12"/>
  <c r="F21" i="12"/>
  <c r="G26" i="12"/>
  <c r="D20" i="12"/>
  <c r="F20" i="12"/>
  <c r="E19" i="12"/>
  <c r="G21" i="12"/>
  <c r="E21" i="12"/>
  <c r="F26" i="12"/>
  <c r="E20" i="12"/>
  <c r="F19" i="12"/>
  <c r="E27" i="5"/>
  <c r="F26" i="5"/>
  <c r="E25" i="5"/>
  <c r="F24" i="5"/>
  <c r="E22" i="5"/>
  <c r="F21" i="5"/>
  <c r="E20" i="5"/>
  <c r="F19" i="5"/>
  <c r="G26" i="5"/>
  <c r="F25" i="5"/>
  <c r="G25" i="5"/>
  <c r="G24" i="5"/>
  <c r="F20" i="5"/>
  <c r="G20" i="5"/>
  <c r="G19" i="5"/>
  <c r="E19" i="5"/>
  <c r="E26" i="5"/>
  <c r="D26" i="5"/>
  <c r="D25" i="5"/>
  <c r="E21" i="5"/>
  <c r="D21" i="5"/>
  <c r="F27" i="5"/>
  <c r="G27" i="5"/>
  <c r="D24" i="5"/>
  <c r="F22" i="5"/>
  <c r="G21" i="5"/>
  <c r="D22" i="5"/>
  <c r="E24" i="5"/>
  <c r="D27" i="5"/>
  <c r="G22" i="5"/>
  <c r="E27" i="6"/>
  <c r="F26" i="6"/>
  <c r="E25" i="6"/>
  <c r="F24" i="6"/>
  <c r="E22" i="6"/>
  <c r="F21" i="6"/>
  <c r="E20" i="6"/>
  <c r="F25" i="6"/>
  <c r="G25" i="6"/>
  <c r="G24" i="6"/>
  <c r="F20" i="6"/>
  <c r="G20" i="6"/>
  <c r="G19" i="6"/>
  <c r="E19" i="6"/>
  <c r="E26" i="6"/>
  <c r="D26" i="6"/>
  <c r="D25" i="6"/>
  <c r="E21" i="6"/>
  <c r="D21" i="6"/>
  <c r="D20" i="6"/>
  <c r="D19" i="6"/>
  <c r="G26" i="6"/>
  <c r="D24" i="6"/>
  <c r="F27" i="6"/>
  <c r="F22" i="6"/>
  <c r="G21" i="6"/>
  <c r="D22" i="6"/>
  <c r="G27" i="6"/>
  <c r="E24" i="6"/>
  <c r="D27" i="6"/>
  <c r="G22" i="6"/>
  <c r="D27" i="11"/>
  <c r="G26" i="11"/>
  <c r="D25" i="11"/>
  <c r="G24" i="11"/>
  <c r="D22" i="11"/>
  <c r="G21" i="11"/>
  <c r="D20" i="11"/>
  <c r="F24" i="11"/>
  <c r="E24" i="11"/>
  <c r="D24" i="11"/>
  <c r="G19" i="11"/>
  <c r="E25" i="11"/>
  <c r="F25" i="11"/>
  <c r="G25" i="11"/>
  <c r="E20" i="11"/>
  <c r="F20" i="11"/>
  <c r="G20" i="11"/>
  <c r="F19" i="11"/>
  <c r="G27" i="11"/>
  <c r="E22" i="11"/>
  <c r="G22" i="11"/>
  <c r="E27" i="11"/>
  <c r="D26" i="11"/>
  <c r="E19" i="11"/>
  <c r="E21" i="11"/>
  <c r="F26" i="11"/>
  <c r="F27" i="11"/>
  <c r="F22" i="11"/>
  <c r="E26" i="11"/>
  <c r="F21" i="11"/>
  <c r="D21" i="11"/>
  <c r="D19" i="11"/>
  <c r="F27" i="8"/>
  <c r="E26" i="8"/>
  <c r="F25" i="8"/>
  <c r="E24" i="8"/>
  <c r="F22" i="8"/>
  <c r="E21" i="8"/>
  <c r="F20" i="8"/>
  <c r="E19" i="8"/>
  <c r="G27" i="8"/>
  <c r="G26" i="8"/>
  <c r="F26" i="8"/>
  <c r="G22" i="8"/>
  <c r="G21" i="8"/>
  <c r="F21" i="8"/>
  <c r="D27" i="8"/>
  <c r="E27" i="8"/>
  <c r="D24" i="8"/>
  <c r="E22" i="8"/>
  <c r="G25" i="8"/>
  <c r="G24" i="8"/>
  <c r="F24" i="8"/>
  <c r="E20" i="8"/>
  <c r="F19" i="8"/>
  <c r="E25" i="8"/>
  <c r="D19" i="8"/>
  <c r="D26" i="8"/>
  <c r="G19" i="8"/>
  <c r="D20" i="8"/>
  <c r="D25" i="8"/>
  <c r="G20" i="8"/>
  <c r="D27" i="7"/>
  <c r="G26" i="7"/>
  <c r="D25" i="7"/>
  <c r="G24" i="7"/>
  <c r="D22" i="7"/>
  <c r="G21" i="7"/>
  <c r="D20" i="7"/>
  <c r="G19" i="7"/>
  <c r="F24" i="7"/>
  <c r="E24" i="7"/>
  <c r="D24" i="7"/>
  <c r="E25" i="7"/>
  <c r="F25" i="7"/>
  <c r="G25" i="7"/>
  <c r="E20" i="7"/>
  <c r="F20" i="7"/>
  <c r="G20" i="7"/>
  <c r="F19" i="7"/>
  <c r="E19" i="7"/>
  <c r="F26" i="7"/>
  <c r="E26" i="7"/>
  <c r="D26" i="7"/>
  <c r="E22" i="7"/>
  <c r="G22" i="7"/>
  <c r="E27" i="7"/>
  <c r="E21" i="7"/>
  <c r="F27" i="7"/>
  <c r="F22" i="7"/>
  <c r="F21" i="7"/>
  <c r="D21" i="7"/>
  <c r="D19" i="7"/>
  <c r="G27" i="7"/>
  <c r="G27" i="13"/>
  <c r="D26" i="13"/>
  <c r="G25" i="13"/>
  <c r="D24" i="13"/>
  <c r="G22" i="13"/>
  <c r="D21" i="13"/>
  <c r="G20" i="13"/>
  <c r="D27" i="13"/>
  <c r="E27" i="13"/>
  <c r="F27" i="13"/>
  <c r="D22" i="13"/>
  <c r="E22" i="13"/>
  <c r="F22" i="13"/>
  <c r="G24" i="13"/>
  <c r="F24" i="13"/>
  <c r="E24" i="13"/>
  <c r="E25" i="13"/>
  <c r="D19" i="13"/>
  <c r="E26" i="13"/>
  <c r="F21" i="13"/>
  <c r="G19" i="13"/>
  <c r="G26" i="13"/>
  <c r="F25" i="13"/>
  <c r="D20" i="13"/>
  <c r="F20" i="13"/>
  <c r="E19" i="13"/>
  <c r="D25" i="13"/>
  <c r="G21" i="13"/>
  <c r="E21" i="13"/>
  <c r="F26" i="13"/>
  <c r="E20" i="13"/>
  <c r="F19" i="13"/>
  <c r="E27" i="10"/>
  <c r="F26" i="10"/>
  <c r="E25" i="10"/>
  <c r="F24" i="10"/>
  <c r="E22" i="10"/>
  <c r="F21" i="10"/>
  <c r="E20" i="10"/>
  <c r="F19" i="10"/>
  <c r="E26" i="10"/>
  <c r="D26" i="10"/>
  <c r="D25" i="10"/>
  <c r="E21" i="10"/>
  <c r="D21" i="10"/>
  <c r="D20" i="10"/>
  <c r="E19" i="10"/>
  <c r="D19" i="10"/>
  <c r="F27" i="10"/>
  <c r="G27" i="10"/>
  <c r="G26" i="10"/>
  <c r="F22" i="10"/>
  <c r="G22" i="10"/>
  <c r="G21" i="10"/>
  <c r="D27" i="10"/>
  <c r="E24" i="10"/>
  <c r="G20" i="10"/>
  <c r="G24" i="10"/>
  <c r="D24" i="10"/>
  <c r="F25" i="10"/>
  <c r="F20" i="10"/>
  <c r="G19" i="10"/>
  <c r="D22" i="10"/>
  <c r="G25" i="10"/>
</calcChain>
</file>

<file path=xl/sharedStrings.xml><?xml version="1.0" encoding="utf-8"?>
<sst xmlns="http://schemas.openxmlformats.org/spreadsheetml/2006/main" count="1035" uniqueCount="246">
  <si>
    <t>パワー名</t>
    <rPh sb="3" eb="4">
      <t>メイ</t>
    </rPh>
    <phoneticPr fontId="1"/>
  </si>
  <si>
    <t>基本</t>
    <rPh sb="0" eb="2">
      <t>キホン</t>
    </rPh>
    <phoneticPr fontId="1"/>
  </si>
  <si>
    <t>呪い</t>
    <rPh sb="0" eb="1">
      <t>ノロ</t>
    </rPh>
    <phoneticPr fontId="1"/>
  </si>
  <si>
    <t>戦術的優位</t>
    <rPh sb="0" eb="3">
      <t>センジュツテキ</t>
    </rPh>
    <rPh sb="3" eb="5">
      <t>ユウイ</t>
    </rPh>
    <phoneticPr fontId="1"/>
  </si>
  <si>
    <t>通常</t>
    <rPh sb="0" eb="2">
      <t>ツウジョウ</t>
    </rPh>
    <phoneticPr fontId="1"/>
  </si>
  <si>
    <t>最接近射撃</t>
    <rPh sb="0" eb="3">
      <t>サイセッキン</t>
    </rPh>
    <rPh sb="3" eb="5">
      <t>シャゲキ</t>
    </rPh>
    <phoneticPr fontId="1"/>
  </si>
  <si>
    <t>クリティカル</t>
    <phoneticPr fontId="1"/>
  </si>
  <si>
    <t>ダメージ</t>
    <phoneticPr fontId="1"/>
  </si>
  <si>
    <t>エルドリッチ・ブラスト</t>
    <phoneticPr fontId="1"/>
  </si>
  <si>
    <t>標準アクション</t>
    <rPh sb="0" eb="2">
      <t>ヒョウジュン</t>
    </rPh>
    <phoneticPr fontId="1"/>
  </si>
  <si>
    <t>目標</t>
    <rPh sb="0" eb="2">
      <t>モクヒョウ</t>
    </rPh>
    <phoneticPr fontId="1"/>
  </si>
  <si>
    <t>アクション</t>
    <phoneticPr fontId="1"/>
  </si>
  <si>
    <t>ウォーロック（全）／攻撃／１　（PHB92）</t>
    <phoneticPr fontId="1"/>
  </si>
  <si>
    <t>クリーチャー１体</t>
    <rPh sb="7" eb="8">
      <t>タイ</t>
    </rPh>
    <phoneticPr fontId="1"/>
  </si>
  <si>
    <t>攻撃</t>
    <rPh sb="0" eb="2">
      <t>コウゲキ</t>
    </rPh>
    <phoneticPr fontId="1"/>
  </si>
  <si>
    <t>【耐久力】または【魅力】対"反応"</t>
    <phoneticPr fontId="1"/>
  </si>
  <si>
    <t>ヒット</t>
    <phoneticPr fontId="1"/>
  </si>
  <si>
    <t>(1d10+【耐久力】または【魅力】修正値)ダメージ</t>
    <phoneticPr fontId="1"/>
  </si>
  <si>
    <t>特種</t>
    <rPh sb="0" eb="2">
      <t>トクシュ</t>
    </rPh>
    <phoneticPr fontId="1"/>
  </si>
  <si>
    <t>２１レベルの時点でこのダメージは(2d10+【耐久力】または【魅力】修正値)に増加する。</t>
    <phoneticPr fontId="1"/>
  </si>
  <si>
    <t>現在値</t>
    <rPh sb="0" eb="2">
      <t>ゲンザイ</t>
    </rPh>
    <rPh sb="2" eb="3">
      <t>アタイ</t>
    </rPh>
    <phoneticPr fontId="1"/>
  </si>
  <si>
    <t>能力値修正</t>
    <rPh sb="0" eb="3">
      <t>ノウリョクチ</t>
    </rPh>
    <rPh sb="3" eb="5">
      <t>シュウセイ</t>
    </rPh>
    <phoneticPr fontId="1"/>
  </si>
  <si>
    <t>筋力</t>
    <rPh sb="0" eb="2">
      <t>キンリョク</t>
    </rPh>
    <phoneticPr fontId="1"/>
  </si>
  <si>
    <t>耐久力</t>
    <rPh sb="0" eb="3">
      <t>タイキュウリョク</t>
    </rPh>
    <phoneticPr fontId="1"/>
  </si>
  <si>
    <t>敏捷力</t>
    <rPh sb="0" eb="2">
      <t>ビンショウ</t>
    </rPh>
    <rPh sb="2" eb="3">
      <t>リョク</t>
    </rPh>
    <phoneticPr fontId="1"/>
  </si>
  <si>
    <t>知力</t>
    <rPh sb="0" eb="2">
      <t>チリョク</t>
    </rPh>
    <phoneticPr fontId="1"/>
  </si>
  <si>
    <t>判断力</t>
    <rPh sb="0" eb="3">
      <t>ハンダンリョク</t>
    </rPh>
    <phoneticPr fontId="1"/>
  </si>
  <si>
    <t>魅力</t>
    <rPh sb="0" eb="2">
      <t>ミリョク</t>
    </rPh>
    <phoneticPr fontId="1"/>
  </si>
  <si>
    <t>AC</t>
    <phoneticPr fontId="1"/>
  </si>
  <si>
    <t>頑健</t>
    <rPh sb="0" eb="2">
      <t>ガンケン</t>
    </rPh>
    <phoneticPr fontId="1"/>
  </si>
  <si>
    <t>反応</t>
    <rPh sb="0" eb="2">
      <t>ハンノウ</t>
    </rPh>
    <phoneticPr fontId="1"/>
  </si>
  <si>
    <t>意志</t>
    <rPh sb="0" eb="2">
      <t>イシ</t>
    </rPh>
    <phoneticPr fontId="1"/>
  </si>
  <si>
    <t>種別</t>
    <rPh sb="0" eb="2">
      <t>シュベツ</t>
    </rPh>
    <phoneticPr fontId="1"/>
  </si>
  <si>
    <t>命中計</t>
    <rPh sb="0" eb="2">
      <t>メイチュウ</t>
    </rPh>
    <rPh sb="2" eb="3">
      <t>ケイ</t>
    </rPh>
    <phoneticPr fontId="1"/>
  </si>
  <si>
    <t>能力</t>
    <rPh sb="0" eb="2">
      <t>ノウリョク</t>
    </rPh>
    <phoneticPr fontId="1"/>
  </si>
  <si>
    <t>修正</t>
    <rPh sb="0" eb="2">
      <t>シュウセイ</t>
    </rPh>
    <phoneticPr fontId="1"/>
  </si>
  <si>
    <t>Lv1/2</t>
    <phoneticPr fontId="1"/>
  </si>
  <si>
    <t>習熟</t>
    <rPh sb="0" eb="2">
      <t>シュウジュク</t>
    </rPh>
    <phoneticPr fontId="1"/>
  </si>
  <si>
    <t>強化</t>
    <rPh sb="0" eb="2">
      <t>キョウカ</t>
    </rPh>
    <phoneticPr fontId="1"/>
  </si>
  <si>
    <t>他</t>
    <rPh sb="0" eb="1">
      <t>ホカ</t>
    </rPh>
    <phoneticPr fontId="1"/>
  </si>
  <si>
    <t>単純</t>
    <rPh sb="0" eb="2">
      <t>タンジュン</t>
    </rPh>
    <phoneticPr fontId="1"/>
  </si>
  <si>
    <t>名前</t>
    <rPh sb="0" eb="2">
      <t>ナマエ</t>
    </rPh>
    <phoneticPr fontId="1"/>
  </si>
  <si>
    <t>クラス</t>
    <phoneticPr fontId="1"/>
  </si>
  <si>
    <t>Lv</t>
    <phoneticPr fontId="1"/>
  </si>
  <si>
    <t>ダメージ</t>
    <phoneticPr fontId="1"/>
  </si>
  <si>
    <t>１D8</t>
    <phoneticPr fontId="1"/>
  </si>
  <si>
    <t>ボーナス</t>
    <phoneticPr fontId="1"/>
  </si>
  <si>
    <t>対象</t>
    <rPh sb="0" eb="2">
      <t>タイショウ</t>
    </rPh>
    <phoneticPr fontId="1"/>
  </si>
  <si>
    <t>追加効果・範囲など</t>
    <rPh sb="0" eb="2">
      <t>ツイカ</t>
    </rPh>
    <rPh sb="2" eb="4">
      <t>コウカ</t>
    </rPh>
    <rPh sb="5" eb="7">
      <t>ハンイ</t>
    </rPh>
    <phoneticPr fontId="1"/>
  </si>
  <si>
    <t>クリティカル</t>
    <phoneticPr fontId="1"/>
  </si>
  <si>
    <t>スピア</t>
    <phoneticPr fontId="1"/>
  </si>
  <si>
    <t>近接基礎</t>
    <rPh sb="0" eb="2">
      <t>キンセツ</t>
    </rPh>
    <rPh sb="2" eb="4">
      <t>キソ</t>
    </rPh>
    <phoneticPr fontId="1"/>
  </si>
  <si>
    <t>エルドリッチ・ブラスト</t>
    <phoneticPr fontId="1"/>
  </si>
  <si>
    <t>ドラゴンフロスト</t>
    <phoneticPr fontId="1"/>
  </si>
  <si>
    <t>1ｄ10</t>
    <phoneticPr fontId="1"/>
  </si>
  <si>
    <t>遠隔１０</t>
    <rPh sb="0" eb="2">
      <t>エンカク</t>
    </rPh>
    <phoneticPr fontId="1"/>
  </si>
  <si>
    <t>冷気　遠隔１０</t>
    <rPh sb="0" eb="2">
      <t>レイキ</t>
    </rPh>
    <rPh sb="3" eb="5">
      <t>エンカク</t>
    </rPh>
    <phoneticPr fontId="1"/>
  </si>
  <si>
    <t>[無限回]◆[装具]、[秘術]</t>
  </si>
  <si>
    <t>キーワード</t>
    <phoneticPr fontId="1"/>
  </si>
  <si>
    <t>AP</t>
    <phoneticPr fontId="1"/>
  </si>
  <si>
    <t>戦術的優位＋AP</t>
    <rPh sb="0" eb="3">
      <t>センジュツテキ</t>
    </rPh>
    <rPh sb="3" eb="5">
      <t>ユウイ</t>
    </rPh>
    <phoneticPr fontId="1"/>
  </si>
  <si>
    <t>種類</t>
    <rPh sb="0" eb="2">
      <t>シュルイ</t>
    </rPh>
    <phoneticPr fontId="1"/>
  </si>
  <si>
    <t>無限回</t>
    <rPh sb="0" eb="2">
      <t>ムゲン</t>
    </rPh>
    <rPh sb="2" eb="3">
      <t>カイ</t>
    </rPh>
    <phoneticPr fontId="1"/>
  </si>
  <si>
    <t>使用者は１レベルの時点で、このパワーによる攻撃に【耐久力】と【魅力】の</t>
    <phoneticPr fontId="1"/>
  </si>
  <si>
    <t>どちらを用いるのかを決定する。１度選んだなら、後から変更することはできない。</t>
    <phoneticPr fontId="1"/>
  </si>
  <si>
    <t>このパワーは遠隔基礎攻撃として扱われる。何らかのパワーが使用者に</t>
    <phoneticPr fontId="1"/>
  </si>
  <si>
    <t>この攻撃のパワーは【光輝】キーワード有するものとして扱う</t>
  </si>
  <si>
    <t>クリティカル</t>
    <phoneticPr fontId="1"/>
  </si>
  <si>
    <t>ダメージ</t>
    <phoneticPr fontId="1"/>
  </si>
  <si>
    <t>命中
ロール</t>
    <rPh sb="0" eb="2">
      <t>メイチュウ</t>
    </rPh>
    <phoneticPr fontId="1"/>
  </si>
  <si>
    <t>遠隔　ウォーロック(魅力）</t>
    <rPh sb="0" eb="2">
      <t>エンカク</t>
    </rPh>
    <rPh sb="10" eb="12">
      <t>ミリョク</t>
    </rPh>
    <phoneticPr fontId="1"/>
  </si>
  <si>
    <t>遠隔　ソーサラー(魅力）</t>
    <rPh sb="0" eb="2">
      <t>エンカク</t>
    </rPh>
    <rPh sb="9" eb="11">
      <t>ミリョク</t>
    </rPh>
    <phoneticPr fontId="1"/>
  </si>
  <si>
    <t>遠隔　ウォーロック(知力）</t>
    <rPh sb="0" eb="2">
      <t>エンカク</t>
    </rPh>
    <rPh sb="10" eb="12">
      <t>チリョク</t>
    </rPh>
    <phoneticPr fontId="1"/>
  </si>
  <si>
    <t>フューリィ・オヴ・ギベス</t>
    <phoneticPr fontId="1"/>
  </si>
  <si>
    <t>頑健</t>
    <phoneticPr fontId="1"/>
  </si>
  <si>
    <t>射程</t>
    <rPh sb="0" eb="2">
      <t>シャテイ</t>
    </rPh>
    <phoneticPr fontId="1"/>
  </si>
  <si>
    <t>遠隔</t>
    <rPh sb="0" eb="2">
      <t>エンカク</t>
    </rPh>
    <phoneticPr fontId="1"/>
  </si>
  <si>
    <t>d</t>
    <phoneticPr fontId="1"/>
  </si>
  <si>
    <t>ｄ</t>
    <phoneticPr fontId="1"/>
  </si>
  <si>
    <t>呪い追加ダメージ</t>
    <rPh sb="0" eb="1">
      <t>ノロ</t>
    </rPh>
    <rPh sb="2" eb="4">
      <t>ツイカ</t>
    </rPh>
    <phoneticPr fontId="1"/>
  </si>
  <si>
    <t>カイフォンの導き</t>
    <rPh sb="6" eb="7">
      <t>ミチビ</t>
    </rPh>
    <phoneticPr fontId="1"/>
  </si>
  <si>
    <t>星の輝き</t>
    <rPh sb="0" eb="1">
      <t>ホシ</t>
    </rPh>
    <rPh sb="2" eb="3">
      <t>カガヤ</t>
    </rPh>
    <phoneticPr fontId="1"/>
  </si>
  <si>
    <t>※カイフォンの導き</t>
    <phoneticPr fontId="1"/>
  </si>
  <si>
    <t>★星の輝き</t>
    <phoneticPr fontId="1"/>
  </si>
  <si>
    <t>↓対象なら「１」</t>
  </si>
  <si>
    <t>タイプ・出典</t>
    <rPh sb="4" eb="6">
      <t>シュッテン</t>
    </rPh>
    <phoneticPr fontId="1"/>
  </si>
  <si>
    <t>命中ロール＆ダメージ表</t>
    <rPh sb="0" eb="2">
      <t>メイチュウ</t>
    </rPh>
    <rPh sb="10" eb="11">
      <t>ヒョウ</t>
    </rPh>
    <phoneticPr fontId="1"/>
  </si>
  <si>
    <t>パワー詳細</t>
    <rPh sb="3" eb="5">
      <t>ショウサイ</t>
    </rPh>
    <phoneticPr fontId="1"/>
  </si>
  <si>
    <t>解説・使い時・他PCとの連携等</t>
    <rPh sb="0" eb="2">
      <t>カイセツ</t>
    </rPh>
    <rPh sb="3" eb="4">
      <t>ツカ</t>
    </rPh>
    <rPh sb="5" eb="6">
      <t>ドキ</t>
    </rPh>
    <rPh sb="7" eb="8">
      <t>タ</t>
    </rPh>
    <rPh sb="12" eb="14">
      <t>レンケイ</t>
    </rPh>
    <rPh sb="14" eb="15">
      <t>ナド</t>
    </rPh>
    <phoneticPr fontId="1"/>
  </si>
  <si>
    <r>
      <t>【恐怖】【光輝】及びスチューデント・オブ・カイフォン使用時は</t>
    </r>
    <r>
      <rPr>
        <b/>
        <sz val="16"/>
        <color theme="1"/>
        <rFont val="ＭＳ Ｐゴシック"/>
        <family val="3"/>
        <charset val="128"/>
        <scheme val="minor"/>
      </rPr>
      <t>１８～２０</t>
    </r>
    <r>
      <rPr>
        <sz val="11"/>
        <color theme="1"/>
        <rFont val="ＭＳ Ｐゴシック"/>
        <family val="2"/>
        <charset val="128"/>
        <scheme val="minor"/>
      </rPr>
      <t>でクリティカル</t>
    </r>
    <phoneticPr fontId="1"/>
  </si>
  <si>
    <r>
      <t>APでの攻撃がヒットしたら</t>
    </r>
    <r>
      <rPr>
        <b/>
        <sz val="14"/>
        <color theme="1"/>
        <rFont val="ＭＳ Ｐゴシック"/>
        <family val="3"/>
        <charset val="128"/>
        <scheme val="minor"/>
      </rPr>
      <t>継続【光輝】５ダメージ（ST終了）</t>
    </r>
    <phoneticPr fontId="1"/>
  </si>
  <si>
    <t>クリティカル時</t>
    <rPh sb="6" eb="7">
      <t>ジ</t>
    </rPh>
    <phoneticPr fontId="1"/>
  </si>
  <si>
    <t>攻撃R対象</t>
    <rPh sb="0" eb="2">
      <t>コウゲキ</t>
    </rPh>
    <rPh sb="3" eb="5">
      <t>タイショウ</t>
    </rPh>
    <phoneticPr fontId="1"/>
  </si>
  <si>
    <t>ダメージ対象</t>
    <rPh sb="4" eb="6">
      <t>タイショウ</t>
    </rPh>
    <phoneticPr fontId="1"/>
  </si>
  <si>
    <t>攻撃Rボーナス</t>
    <rPh sb="0" eb="2">
      <t>コウゲキ</t>
    </rPh>
    <phoneticPr fontId="1"/>
  </si>
  <si>
    <t>ダメージボーナス</t>
    <phoneticPr fontId="1"/>
  </si>
  <si>
    <t>ここは印刷されませんが、赤字の値の入力で計算が行われます。</t>
    <rPh sb="3" eb="5">
      <t>インサツ</t>
    </rPh>
    <rPh sb="12" eb="14">
      <t>アカジ</t>
    </rPh>
    <rPh sb="15" eb="16">
      <t>アタイ</t>
    </rPh>
    <rPh sb="17" eb="19">
      <t>ニュウリョク</t>
    </rPh>
    <rPh sb="20" eb="22">
      <t>ケイサン</t>
    </rPh>
    <rPh sb="23" eb="24">
      <t>オコナ</t>
    </rPh>
    <phoneticPr fontId="1"/>
  </si>
  <si>
    <t>↓「魅力」か「知力」のみ</t>
    <rPh sb="2" eb="4">
      <t>ミリョク</t>
    </rPh>
    <rPh sb="7" eb="9">
      <t>チリョク</t>
    </rPh>
    <phoneticPr fontId="1"/>
  </si>
  <si>
    <t>赤字以外の内容は変更しないでください。</t>
    <rPh sb="0" eb="2">
      <t>アカジ</t>
    </rPh>
    <rPh sb="2" eb="4">
      <t>イガイ</t>
    </rPh>
    <rPh sb="5" eb="7">
      <t>ナイヨウ</t>
    </rPh>
    <rPh sb="8" eb="10">
      <t>ヘンコウ</t>
    </rPh>
    <phoneticPr fontId="1"/>
  </si>
  <si>
    <t>呪い追加ダメージ</t>
    <rPh sb="0" eb="1">
      <t>ノロ</t>
    </rPh>
    <rPh sb="2" eb="4">
      <t>ツイカ</t>
    </rPh>
    <phoneticPr fontId="1"/>
  </si>
  <si>
    <t>ダイア・レイディアンス</t>
    <phoneticPr fontId="1"/>
  </si>
  <si>
    <t>ウォーロック（星）／攻撃／１　（PHB92）</t>
    <phoneticPr fontId="1"/>
  </si>
  <si>
    <t>[無限回]◆[恐怖]、[光輝]、[装具]、[秘術]</t>
    <phoneticPr fontId="1"/>
  </si>
  <si>
    <t>射程</t>
    <rPh sb="0" eb="2">
      <t>シャテイ</t>
    </rPh>
    <phoneticPr fontId="1"/>
  </si>
  <si>
    <t>【耐久力】または【魅力】対"頑健"</t>
    <phoneticPr fontId="1"/>
  </si>
  <si>
    <t>(1d6+【耐久力】または【魅力】修正値)の[光輝]ダメージ</t>
    <phoneticPr fontId="1"/>
  </si>
  <si>
    <t>２１レベルの時点で最初のダメージおよび追加ダメージは</t>
    <phoneticPr fontId="1"/>
  </si>
  <si>
    <t>(2d6+【耐久力】または【魅力】修正値)に増加する。</t>
    <phoneticPr fontId="1"/>
  </si>
  <si>
    <t xml:space="preserve">ソーサラー/攻撃/Lv1　（PHⅡ105） </t>
    <phoneticPr fontId="1"/>
  </si>
  <si>
    <t xml:space="preserve">[無限回]◆[秘術][装具][冷気] </t>
    <phoneticPr fontId="1"/>
  </si>
  <si>
    <t xml:space="preserve">【魅力】対“頑健” </t>
    <phoneticPr fontId="1"/>
  </si>
  <si>
    <t xml:space="preserve">（1d8+【魅力】修正値）の[冷気]ダメージ </t>
    <phoneticPr fontId="1"/>
  </si>
  <si>
    <t xml:space="preserve">Lv21：（2d8+【魅力】修正値）の[冷気]ダメージ。 </t>
    <phoneticPr fontId="1"/>
  </si>
  <si>
    <t>グロウ・オヴ・ウルバン</t>
    <phoneticPr fontId="1"/>
  </si>
  <si>
    <t>遭遇毎</t>
    <rPh sb="0" eb="2">
      <t>ソウグウ</t>
    </rPh>
    <rPh sb="2" eb="3">
      <t>マイ</t>
    </rPh>
    <phoneticPr fontId="1"/>
  </si>
  <si>
    <t>ウォーロック（星）／攻撃／１　（Drp50）</t>
    <phoneticPr fontId="1"/>
  </si>
  <si>
    <t>[遭遇毎]◆[光輝]、[装具]、[秘術]</t>
    <phoneticPr fontId="1"/>
  </si>
  <si>
    <t>【魅力】対"意志"</t>
    <phoneticPr fontId="1"/>
  </si>
  <si>
    <t>(2d8+【魅力】修正値)の[光輝]ダメージ。</t>
    <phoneticPr fontId="1"/>
  </si>
  <si>
    <t>星の契約:この攻撃がヒッ卜したなら、</t>
    <phoneticPr fontId="1"/>
  </si>
  <si>
    <t>クラウン・オヴ・スターズ</t>
    <phoneticPr fontId="1"/>
  </si>
  <si>
    <t>一日毎</t>
    <rPh sb="0" eb="2">
      <t>イチニチ</t>
    </rPh>
    <rPh sb="2" eb="3">
      <t>マイ</t>
    </rPh>
    <phoneticPr fontId="1"/>
  </si>
  <si>
    <t>[一日毎]◆[光輝]、[装具]、[秘術]</t>
    <phoneticPr fontId="1"/>
  </si>
  <si>
    <t>【魅力】対"反応"</t>
    <phoneticPr fontId="1"/>
  </si>
  <si>
    <t>(2d12+【魅力】修正値)の[光輝]ダメージ。</t>
    <phoneticPr fontId="1"/>
  </si>
  <si>
    <t>目標が重傷であるなら、目標はさらに使用者の次のターンの終了時まで"盲目状態"となる。</t>
    <phoneticPr fontId="1"/>
  </si>
  <si>
    <t>維持・マイナー：射程内の目標１体に対して【魅力】対"意志"の攻撃を行なう。</t>
    <phoneticPr fontId="1"/>
  </si>
  <si>
    <t>ヒッ卜したなら、使用者の【魅力】修正値に等しいダメージを与える。</t>
    <phoneticPr fontId="1"/>
  </si>
  <si>
    <t>ウォーロック／攻撃／５　（Drp51）</t>
    <phoneticPr fontId="1"/>
  </si>
  <si>
    <t>[一日毎]◆[恐怖]、[装具]、[秘術]、[力場]</t>
    <phoneticPr fontId="1"/>
  </si>
  <si>
    <t>"【知力】+2対"反応</t>
    <phoneticPr fontId="1"/>
  </si>
  <si>
    <t>(3d10+【知力】修正値)ダメージ、</t>
    <phoneticPr fontId="1"/>
  </si>
  <si>
    <t>目標は(１０＋使用者の【魅力】修正値＋使用者のレベルの半分)に等しい難易度の(軽業〉判定を</t>
    <phoneticPr fontId="1"/>
  </si>
  <si>
    <t>ミス</t>
    <phoneticPr fontId="1"/>
  </si>
  <si>
    <t>目標は〈軽業〉判定を行い、失敗すると倒れて"伏せ状態"となる。</t>
    <phoneticPr fontId="1"/>
  </si>
  <si>
    <t>リング･オブ･ペイン</t>
    <phoneticPr fontId="1"/>
  </si>
  <si>
    <t>ウォーロック（星）／攻撃／９　（Fgr27）</t>
    <phoneticPr fontId="1"/>
  </si>
  <si>
    <t>[一日毎]◆[精神]、[装具]、[秘術]</t>
    <phoneticPr fontId="1"/>
  </si>
  <si>
    <t>敵1体</t>
    <rPh sb="0" eb="1">
      <t>テキ</t>
    </rPh>
    <rPh sb="2" eb="3">
      <t>タイ</t>
    </rPh>
    <phoneticPr fontId="1"/>
  </si>
  <si>
    <t>"【魅力】”対"意思"</t>
    <phoneticPr fontId="1"/>
  </si>
  <si>
    <t>(2d10+【魅力】修正値)の　[精神]ダメージ</t>
    <phoneticPr fontId="1"/>
  </si>
  <si>
    <t>ファー・レルム・ファンタズム</t>
    <phoneticPr fontId="1"/>
  </si>
  <si>
    <t>ウォーロック（星）／攻撃／７　（Drp52）</t>
    <phoneticPr fontId="1"/>
  </si>
  <si>
    <t>[遭遇毎]◆［恐怖］、［精神］、[装具]、[秘術]</t>
    <phoneticPr fontId="1"/>
  </si>
  <si>
    <t>【魅力】対"意志"</t>
    <phoneticPr fontId="1"/>
  </si>
  <si>
    <t>:(1d6+【魅力】修正値)の[精神]ダメージ、</t>
    <phoneticPr fontId="1"/>
  </si>
  <si>
    <t>トランス・イン・ザ・ガイド・スター</t>
    <phoneticPr fontId="1"/>
  </si>
  <si>
    <t>スチューデント・オブ・カイフォン／攻撃／１１　（Drp50）</t>
    <phoneticPr fontId="1"/>
  </si>
  <si>
    <t>:(2d10+【魅力】修正値)の[光輝]ダメージ、</t>
    <phoneticPr fontId="1"/>
  </si>
  <si>
    <t>ブレイズ･オブ･ウルバン</t>
    <phoneticPr fontId="1"/>
  </si>
  <si>
    <t>ウォーロック（星）／攻撃／１３　（Drp52）</t>
    <phoneticPr fontId="1"/>
  </si>
  <si>
    <t>(2d8+【魅力】修正値)の　[光輝]ダメージ、</t>
    <phoneticPr fontId="1"/>
  </si>
  <si>
    <t>星の契約：この攻撃がヒットしたらなら、</t>
    <phoneticPr fontId="1"/>
  </si>
  <si>
    <t>命中Rパワー修正</t>
    <rPh sb="0" eb="2">
      <t>メイチュウ</t>
    </rPh>
    <rPh sb="6" eb="8">
      <t>シュウセイ</t>
    </rPh>
    <phoneticPr fontId="1"/>
  </si>
  <si>
    <t>ダメージパワー修正</t>
    <rPh sb="7" eb="9">
      <t>シュウセイ</t>
    </rPh>
    <phoneticPr fontId="1"/>
  </si>
  <si>
    <t>ダメージ種別</t>
    <rPh sb="4" eb="6">
      <t>シュベツ</t>
    </rPh>
    <phoneticPr fontId="1"/>
  </si>
  <si>
    <t>光輝</t>
    <rPh sb="0" eb="1">
      <t>コウ</t>
    </rPh>
    <rPh sb="1" eb="2">
      <t>キ</t>
    </rPh>
    <phoneticPr fontId="1"/>
  </si>
  <si>
    <t>ウォーロック(星)</t>
    <rPh sb="7" eb="8">
      <t>ホシ</t>
    </rPh>
    <phoneticPr fontId="1"/>
  </si>
  <si>
    <t>ミカ・マイアリ―</t>
    <phoneticPr fontId="1"/>
  </si>
  <si>
    <t>冷気</t>
    <rPh sb="0" eb="2">
      <t>レイキ</t>
    </rPh>
    <phoneticPr fontId="1"/>
  </si>
  <si>
    <t>精神</t>
    <rPh sb="0" eb="2">
      <t>セイシン</t>
    </rPh>
    <phoneticPr fontId="1"/>
  </si>
  <si>
    <t>効果</t>
    <rPh sb="0" eb="2">
      <t>コウカ</t>
    </rPh>
    <phoneticPr fontId="1"/>
  </si>
  <si>
    <t>軽業判定の値は手動修正</t>
    <rPh sb="0" eb="2">
      <t>カルワザ</t>
    </rPh>
    <rPh sb="2" eb="4">
      <t>ハンテイ</t>
    </rPh>
    <rPh sb="5" eb="6">
      <t>アタイ</t>
    </rPh>
    <rPh sb="7" eb="9">
      <t>シュドウ</t>
    </rPh>
    <rPh sb="9" eb="11">
      <t>シュウセイ</t>
    </rPh>
    <phoneticPr fontId="1"/>
  </si>
  <si>
    <r>
      <t>目標が</t>
    </r>
    <r>
      <rPr>
        <b/>
        <sz val="11"/>
        <color rgb="FFFF0000"/>
        <rFont val="ＭＳ Ｐゴシック"/>
        <family val="3"/>
        <charset val="128"/>
        <scheme val="minor"/>
      </rPr>
      <t>次の自分のターンに使用者に近付くような移動を行なったなら</t>
    </r>
    <r>
      <rPr>
        <b/>
        <sz val="11"/>
        <color theme="1"/>
        <rFont val="ＭＳ Ｐゴシック"/>
        <family val="3"/>
        <charset val="128"/>
        <scheme val="minor"/>
      </rPr>
      <t>、</t>
    </r>
    <rPh sb="0" eb="2">
      <t>モクヒョウ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</si>
  <si>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遠隔基礎攻撃</t>
    </r>
    <r>
      <rPr>
        <sz val="11"/>
        <color theme="1"/>
        <rFont val="ＭＳ Ｐゴシック"/>
        <family val="2"/>
        <charset val="128"/>
        <scheme val="minor"/>
      </rPr>
      <t>を行なわせる場合、使用者はこのパワーを使用することが出来る。</t>
    </r>
    <phoneticPr fontId="1"/>
  </si>
  <si>
    <r>
      <t>このパワーは</t>
    </r>
    <r>
      <rPr>
        <b/>
        <sz val="11"/>
        <color rgb="FFFF0000"/>
        <rFont val="ＭＳ Ｐゴシック"/>
        <family val="3"/>
        <charset val="128"/>
        <scheme val="minor"/>
      </rPr>
      <t>遠隔基礎攻撃</t>
    </r>
    <r>
      <rPr>
        <sz val="11"/>
        <color theme="1"/>
        <rFont val="ＭＳ Ｐゴシック"/>
        <family val="2"/>
        <charset val="128"/>
        <scheme val="minor"/>
      </rPr>
      <t>として扱うことができる</t>
    </r>
    <phoneticPr fontId="1"/>
  </si>
  <si>
    <r>
      <t>さらに、</t>
    </r>
    <r>
      <rPr>
        <b/>
        <sz val="12"/>
        <color rgb="FFFF0000"/>
        <rFont val="ＭＳ Ｐゴシック"/>
        <family val="3"/>
        <charset val="128"/>
        <scheme val="minor"/>
      </rPr>
      <t>使用者は目標を1マス押しやる。</t>
    </r>
    <r>
      <rPr>
        <b/>
        <sz val="11"/>
        <color theme="1"/>
        <rFont val="ＭＳ Ｐゴシック"/>
        <family val="3"/>
        <charset val="128"/>
        <scheme val="minor"/>
      </rPr>
      <t xml:space="preserve"> </t>
    </r>
    <phoneticPr fontId="1"/>
  </si>
  <si>
    <r>
      <t>目標はこの</t>
    </r>
    <r>
      <rPr>
        <b/>
        <sz val="11"/>
        <color rgb="FFFF0000"/>
        <rFont val="ＭＳ Ｐゴシック"/>
        <family val="3"/>
        <charset val="128"/>
        <scheme val="minor"/>
      </rPr>
      <t>遭遇の終了時までに行なう次のセーヴィング・スローに－２</t>
    </r>
    <r>
      <rPr>
        <sz val="11"/>
        <color theme="1"/>
        <rFont val="ＭＳ Ｐゴシック"/>
        <family val="2"/>
        <charset val="128"/>
        <scheme val="minor"/>
      </rPr>
      <t>のペナルティを受ける。</t>
    </r>
    <phoneticPr fontId="1"/>
  </si>
  <si>
    <r>
      <t>星の契約：目標は使用者の</t>
    </r>
    <r>
      <rPr>
        <b/>
        <sz val="11"/>
        <color rgb="FFFF0000"/>
        <rFont val="ＭＳ Ｐゴシック"/>
        <family val="3"/>
        <charset val="128"/>
        <scheme val="minor"/>
      </rPr>
      <t>次のターン終了時まで、意思防御値に-2</t>
    </r>
    <r>
      <rPr>
        <sz val="11"/>
        <color theme="1"/>
        <rFont val="ＭＳ Ｐゴシック"/>
        <family val="2"/>
        <charset val="128"/>
        <scheme val="minor"/>
      </rPr>
      <t>のペナルティーを受ける。</t>
    </r>
    <phoneticPr fontId="1"/>
  </si>
  <si>
    <r>
      <t>目標は</t>
    </r>
    <r>
      <rPr>
        <b/>
        <sz val="11"/>
        <color rgb="FFFF0000"/>
        <rFont val="ＭＳ Ｐゴシック"/>
        <family val="3"/>
        <charset val="128"/>
        <scheme val="minor"/>
      </rPr>
      <t>次の自分の標準アクションを誰もいないところに1回の基礎攻撃を行う</t>
    </r>
    <r>
      <rPr>
        <sz val="11"/>
        <color theme="1"/>
        <rFont val="ＭＳ Ｐゴシック"/>
        <family val="2"/>
        <charset val="128"/>
        <scheme val="minor"/>
      </rPr>
      <t>ために費やす。</t>
    </r>
    <phoneticPr fontId="1"/>
  </si>
  <si>
    <r>
      <t>使用者は</t>
    </r>
    <r>
      <rPr>
        <b/>
        <sz val="11"/>
        <color rgb="FFFF0000"/>
        <rFont val="ＭＳ Ｐゴシック"/>
        <family val="3"/>
        <charset val="128"/>
        <scheme val="minor"/>
      </rPr>
      <t>遮蔽（ただし良好な遮蔽を除く）</t>
    </r>
    <r>
      <rPr>
        <sz val="11"/>
        <color theme="1"/>
        <rFont val="ＭＳ Ｐゴシック"/>
        <family val="2"/>
        <charset val="128"/>
        <scheme val="minor"/>
      </rPr>
      <t>および</t>
    </r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</si>
  <si>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視認困難、完全視認困難のペナルティを無視</t>
    </r>
    <r>
      <rPr>
        <sz val="11"/>
        <color theme="1"/>
        <rFont val="ＭＳ Ｐゴシック"/>
        <family val="2"/>
        <charset val="128"/>
        <scheme val="minor"/>
      </rPr>
      <t>する。</t>
    </r>
    <phoneticPr fontId="1"/>
  </si>
  <si>
    <r>
      <t>使用者は</t>
    </r>
    <r>
      <rPr>
        <b/>
        <sz val="11"/>
        <color rgb="FFFF0000"/>
        <rFont val="ＭＳ Ｐゴシック"/>
        <family val="3"/>
        <charset val="128"/>
        <scheme val="minor"/>
      </rPr>
      <t>不可視の目標を不可視でないものとして攻撃する</t>
    </r>
    <r>
      <rPr>
        <sz val="11"/>
        <color theme="1"/>
        <rFont val="ＭＳ Ｐゴシック"/>
        <family val="2"/>
        <charset val="128"/>
        <scheme val="minor"/>
      </rPr>
      <t>ことが出来る。</t>
    </r>
    <phoneticPr fontId="1"/>
  </si>
  <si>
    <r>
      <t>目標から</t>
    </r>
    <r>
      <rPr>
        <b/>
        <sz val="11"/>
        <color rgb="FFFF0000"/>
        <rFont val="ＭＳ Ｐゴシック"/>
        <family val="3"/>
        <charset val="128"/>
        <scheme val="minor"/>
      </rPr>
      <t>５マス以内にいる敵１体を２マス横滑り</t>
    </r>
    <r>
      <rPr>
        <sz val="11"/>
        <color theme="1"/>
        <rFont val="ＭＳ Ｐゴシック"/>
        <family val="2"/>
        <charset val="128"/>
        <scheme val="minor"/>
      </rPr>
      <t>させる。</t>
    </r>
    <phoneticPr fontId="1"/>
  </si>
  <si>
    <r>
      <t>目標は</t>
    </r>
    <r>
      <rPr>
        <b/>
        <sz val="11"/>
        <color rgb="FFFF0000"/>
        <rFont val="ＭＳ Ｐゴシック"/>
        <family val="3"/>
        <charset val="128"/>
        <scheme val="minor"/>
      </rPr>
      <t>次に行うセーヴィング・スローに－２</t>
    </r>
    <r>
      <rPr>
        <sz val="11"/>
        <color theme="1"/>
        <rFont val="ＭＳ Ｐゴシック"/>
        <family val="2"/>
        <charset val="128"/>
        <scheme val="minor"/>
      </rPr>
      <t>のペナルティーを受ける。</t>
    </r>
    <phoneticPr fontId="1"/>
  </si>
  <si>
    <r>
      <t>　　　　　　　　　　　　　　　　　　　　　　　　　　　　　　　　　　　　　　　　　　　　</t>
    </r>
    <r>
      <rPr>
        <b/>
        <sz val="14"/>
        <color rgb="FFFF0000"/>
        <rFont val="ＭＳ Ｐゴシック"/>
        <family val="3"/>
        <charset val="128"/>
        <scheme val="minor"/>
      </rPr>
      <t>(別表参照)</t>
    </r>
    <rPh sb="45" eb="46">
      <t>ベツ</t>
    </rPh>
    <rPh sb="46" eb="47">
      <t>ヒョウ</t>
    </rPh>
    <rPh sb="47" eb="49">
      <t>サンショウ</t>
    </rPh>
    <phoneticPr fontId="1"/>
  </si>
  <si>
    <r>
      <t>クラウン・オヴ・スターズ</t>
    </r>
    <r>
      <rPr>
        <b/>
        <sz val="18"/>
        <color rgb="FFFF0000"/>
        <rFont val="ＭＳ Ｐゴシック"/>
        <family val="3"/>
        <charset val="128"/>
        <scheme val="minor"/>
      </rPr>
      <t>（維持攻撃分）</t>
    </r>
    <rPh sb="13" eb="15">
      <t>イジ</t>
    </rPh>
    <rPh sb="15" eb="17">
      <t>コウゲキ</t>
    </rPh>
    <rPh sb="17" eb="18">
      <t>ブン</t>
    </rPh>
    <phoneticPr fontId="1"/>
  </si>
  <si>
    <r>
      <t>行い、</t>
    </r>
    <r>
      <rPr>
        <b/>
        <sz val="11"/>
        <color rgb="FFFF0000"/>
        <rFont val="ＭＳ Ｐゴシック"/>
        <family val="3"/>
        <charset val="128"/>
        <scheme val="minor"/>
      </rPr>
      <t>失敗すると倒れて"伏せ状態"</t>
    </r>
    <r>
      <rPr>
        <sz val="11"/>
        <color theme="1"/>
        <rFont val="ＭＳ Ｐゴシック"/>
        <family val="2"/>
        <charset val="128"/>
        <scheme val="minor"/>
      </rPr>
      <t>となる。　　　　</t>
    </r>
    <r>
      <rPr>
        <b/>
        <sz val="14"/>
        <color rgb="FFFF0000"/>
        <rFont val="ＭＳ Ｐゴシック"/>
        <family val="3"/>
        <charset val="128"/>
        <scheme val="minor"/>
      </rPr>
      <t>難易度：21の軽業判定</t>
    </r>
    <rPh sb="25" eb="28">
      <t>ナンイド</t>
    </rPh>
    <rPh sb="32" eb="34">
      <t>カルワザ</t>
    </rPh>
    <rPh sb="34" eb="36">
      <t>ハンテイ</t>
    </rPh>
    <phoneticPr fontId="1"/>
  </si>
  <si>
    <r>
      <t>目標は</t>
    </r>
    <r>
      <rPr>
        <b/>
        <sz val="11"/>
        <color rgb="FFFF0000"/>
        <rFont val="ＭＳ Ｐゴシック"/>
        <family val="3"/>
        <charset val="128"/>
        <scheme val="minor"/>
      </rPr>
      <t>自分のターンの開始時に、もう一度〈軽業〉判定</t>
    </r>
    <r>
      <rPr>
        <sz val="11"/>
        <color theme="1"/>
        <rFont val="ＭＳ Ｐゴシック"/>
        <family val="2"/>
        <charset val="128"/>
        <scheme val="minor"/>
      </rPr>
      <t>を行い(難易度は上述の通り)、</t>
    </r>
    <phoneticPr fontId="1"/>
  </si>
  <si>
    <r>
      <t>失敗すると倒れて"伏せ状態"となる</t>
    </r>
    <r>
      <rPr>
        <b/>
        <sz val="11"/>
        <color rgb="FFFF0000"/>
        <rFont val="ＭＳ Ｐゴシック"/>
        <family val="3"/>
        <charset val="128"/>
        <scheme val="minor"/>
      </rPr>
      <t>(セーヴ・終了)</t>
    </r>
    <phoneticPr fontId="1"/>
  </si>
  <si>
    <r>
      <t>目標は</t>
    </r>
    <r>
      <rPr>
        <b/>
        <sz val="11"/>
        <color rgb="FFFF0000"/>
        <rFont val="ＭＳ Ｐゴシック"/>
        <family val="3"/>
        <charset val="128"/>
        <scheme val="minor"/>
      </rPr>
      <t>継続的[精神]ダメージ１０</t>
    </r>
    <r>
      <rPr>
        <sz val="11"/>
        <color theme="1"/>
        <rFont val="ＭＳ Ｐゴシック"/>
        <family val="2"/>
        <charset val="128"/>
        <scheme val="minor"/>
      </rPr>
      <t>を受ける</t>
    </r>
    <r>
      <rPr>
        <b/>
        <sz val="11"/>
        <color rgb="FFFF0000"/>
        <rFont val="ＭＳ Ｐゴシック"/>
        <family val="3"/>
        <charset val="128"/>
        <scheme val="minor"/>
      </rPr>
      <t>(セーヴ・終了)</t>
    </r>
    <r>
      <rPr>
        <sz val="11"/>
        <color theme="1"/>
        <rFont val="ＭＳ Ｐゴシック"/>
        <family val="2"/>
        <charset val="128"/>
        <scheme val="minor"/>
      </rPr>
      <t>。</t>
    </r>
    <phoneticPr fontId="1"/>
  </si>
  <si>
    <r>
      <t>この継続的ダメージに対する</t>
    </r>
    <r>
      <rPr>
        <b/>
        <sz val="11"/>
        <color rgb="FFFF0000"/>
        <rFont val="ＭＳ Ｐゴシック"/>
        <family val="3"/>
        <charset val="128"/>
        <scheme val="minor"/>
      </rPr>
      <t>セーヴィング・スローに目標が最初に失敗した時</t>
    </r>
    <r>
      <rPr>
        <sz val="11"/>
        <color theme="1"/>
        <rFont val="ＭＳ Ｐゴシック"/>
        <family val="2"/>
        <charset val="128"/>
        <scheme val="minor"/>
      </rPr>
      <t>、</t>
    </r>
    <phoneticPr fontId="1"/>
  </si>
  <si>
    <r>
      <t>使用者自身から</t>
    </r>
    <r>
      <rPr>
        <b/>
        <sz val="11"/>
        <color rgb="FFFF0000"/>
        <rFont val="ＭＳ Ｐゴシック"/>
        <family val="3"/>
        <charset val="128"/>
        <scheme val="minor"/>
      </rPr>
      <t>１０マス以内にいる別のクリーチャーを１体</t>
    </r>
    <r>
      <rPr>
        <sz val="11"/>
        <color theme="1"/>
        <rFont val="ＭＳ Ｐゴシック"/>
        <family val="2"/>
        <charset val="128"/>
        <scheme val="minor"/>
      </rPr>
      <t>選び、</t>
    </r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</si>
  <si>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継続的[精神]ダメージ５</t>
    </r>
    <r>
      <rPr>
        <sz val="11"/>
        <color theme="1"/>
        <rFont val="ＭＳ Ｐゴシック"/>
        <family val="2"/>
        <charset val="128"/>
        <scheme val="minor"/>
      </rPr>
      <t>を与える</t>
    </r>
    <r>
      <rPr>
        <b/>
        <sz val="11"/>
        <color rgb="FFFF0000"/>
        <rFont val="ＭＳ Ｐゴシック"/>
        <family val="3"/>
        <charset val="128"/>
        <scheme val="minor"/>
      </rPr>
      <t>(セーヴ・終了)</t>
    </r>
    <r>
      <rPr>
        <sz val="11"/>
        <color theme="1"/>
        <rFont val="ＭＳ Ｐゴシック"/>
        <family val="2"/>
        <charset val="128"/>
        <scheme val="minor"/>
      </rPr>
      <t>。</t>
    </r>
    <phoneticPr fontId="1"/>
  </si>
  <si>
    <t>　　マイナー維持なので、新たな呪いをかけられなくなる。</t>
    <rPh sb="6" eb="8">
      <t>イジ</t>
    </rPh>
    <rPh sb="12" eb="13">
      <t>アラ</t>
    </rPh>
    <rPh sb="15" eb="16">
      <t>ノロ</t>
    </rPh>
    <phoneticPr fontId="1"/>
  </si>
  <si>
    <t>目標は1回だけ(1d6+【耐久力】または【魅力】修正値)のダメージを受ける。</t>
    <phoneticPr fontId="1"/>
  </si>
  <si>
    <t>↓能力値修正</t>
    <rPh sb="1" eb="4">
      <t>ノウリョクチ</t>
    </rPh>
    <rPh sb="4" eb="6">
      <t>シュウセイ</t>
    </rPh>
    <phoneticPr fontId="1"/>
  </si>
  <si>
    <t>効果</t>
    <rPh sb="0" eb="2">
      <t>コウカ</t>
    </rPh>
    <phoneticPr fontId="1"/>
  </si>
  <si>
    <t xml:space="preserve">
</t>
    <phoneticPr fontId="1"/>
  </si>
  <si>
    <r>
      <t>半減ダメージ。</t>
    </r>
    <r>
      <rPr>
        <sz val="11"/>
        <color rgb="FFFF0000"/>
        <rFont val="ＭＳ Ｐゴシック"/>
        <family val="3"/>
        <charset val="128"/>
        <scheme val="minor"/>
      </rPr>
      <t>(呪いはつかない)</t>
    </r>
    <rPh sb="8" eb="9">
      <t>ノロ</t>
    </rPh>
    <phoneticPr fontId="1"/>
  </si>
  <si>
    <t>　STEP1：主体性ゼロ　言われるがまま打つ</t>
    <rPh sb="7" eb="10">
      <t>シュタイセイ</t>
    </rPh>
    <rPh sb="13" eb="14">
      <t>イ</t>
    </rPh>
    <rPh sb="20" eb="21">
      <t>ウ</t>
    </rPh>
    <phoneticPr fontId="1"/>
  </si>
  <si>
    <t>　STEP2：残HP20前後の敵のトドメ(クリティカルの必要なし)</t>
    <rPh sb="7" eb="8">
      <t>ザン</t>
    </rPh>
    <rPh sb="12" eb="14">
      <t>ゼンゴ</t>
    </rPh>
    <rPh sb="15" eb="16">
      <t>テキ</t>
    </rPh>
    <rPh sb="28" eb="30">
      <t>ヒツヨウ</t>
    </rPh>
    <phoneticPr fontId="1"/>
  </si>
  <si>
    <t>　STEP1：もう無限回しか残ってない　そんな時に撃つ</t>
    <rPh sb="9" eb="11">
      <t>ムゲン</t>
    </rPh>
    <rPh sb="11" eb="12">
      <t>カイ</t>
    </rPh>
    <rPh sb="14" eb="15">
      <t>ノコ</t>
    </rPh>
    <rPh sb="23" eb="24">
      <t>トキ</t>
    </rPh>
    <rPh sb="25" eb="26">
      <t>ウ</t>
    </rPh>
    <phoneticPr fontId="1"/>
  </si>
  <si>
    <t>　APが余ってたら撃ってもイイが、そもそも余らずに別のパワーで使うべき</t>
    <rPh sb="4" eb="5">
      <t>アマ</t>
    </rPh>
    <rPh sb="9" eb="10">
      <t>ウ</t>
    </rPh>
    <rPh sb="21" eb="22">
      <t>アマ</t>
    </rPh>
    <rPh sb="25" eb="26">
      <t>ベツ</t>
    </rPh>
    <rPh sb="31" eb="32">
      <t>ツカ</t>
    </rPh>
    <phoneticPr fontId="1"/>
  </si>
  <si>
    <t>　STEP2：絶対に近付いてくる　そんな確信が持てた時に撃つ</t>
    <rPh sb="7" eb="9">
      <t>ゼッタイ</t>
    </rPh>
    <rPh sb="10" eb="12">
      <t>チカヅ</t>
    </rPh>
    <rPh sb="20" eb="22">
      <t>カクシン</t>
    </rPh>
    <rPh sb="23" eb="24">
      <t>モ</t>
    </rPh>
    <phoneticPr fontId="1"/>
  </si>
  <si>
    <t>　STEP3：ペナルティがキツ過ぎる時 ダメ元で撃つ</t>
    <rPh sb="15" eb="16">
      <t>ス</t>
    </rPh>
    <rPh sb="18" eb="19">
      <t>トキ</t>
    </rPh>
    <rPh sb="22" eb="23">
      <t>モト</t>
    </rPh>
    <rPh sb="24" eb="25">
      <t>ウ</t>
    </rPh>
    <phoneticPr fontId="1"/>
  </si>
  <si>
    <t>　STEP4：リョウの門とコンボの余地あり</t>
    <rPh sb="11" eb="12">
      <t>モン</t>
    </rPh>
    <rPh sb="17" eb="19">
      <t>ヨチ</t>
    </rPh>
    <phoneticPr fontId="1"/>
  </si>
  <si>
    <t>　STEP１：言われるがまま撃つ　(反応よりも頑健低そうな輩に)</t>
    <rPh sb="7" eb="8">
      <t>イ</t>
    </rPh>
    <rPh sb="14" eb="15">
      <t>ウ</t>
    </rPh>
    <rPh sb="18" eb="20">
      <t>ハンノウ</t>
    </rPh>
    <rPh sb="23" eb="25">
      <t>ガンケン</t>
    </rPh>
    <rPh sb="25" eb="26">
      <t>ヒク</t>
    </rPh>
    <rPh sb="29" eb="30">
      <t>ヤカラ</t>
    </rPh>
    <phoneticPr fontId="1"/>
  </si>
  <si>
    <t>　STEP2：押しやるとゲームが盛り上がる時に撃つ　　　</t>
    <rPh sb="7" eb="8">
      <t>オ</t>
    </rPh>
    <rPh sb="16" eb="17">
      <t>モ</t>
    </rPh>
    <rPh sb="18" eb="19">
      <t>ア</t>
    </rPh>
    <rPh sb="21" eb="22">
      <t>トキ</t>
    </rPh>
    <rPh sb="23" eb="24">
      <t>ウ</t>
    </rPh>
    <phoneticPr fontId="1"/>
  </si>
  <si>
    <t>　　　　　　　例：　つかみ・拘束解除</t>
    <rPh sb="7" eb="8">
      <t>レイ</t>
    </rPh>
    <rPh sb="14" eb="16">
      <t>コウソク</t>
    </rPh>
    <rPh sb="16" eb="18">
      <t>カイジョ</t>
    </rPh>
    <phoneticPr fontId="1"/>
  </si>
  <si>
    <t>　　　　　　　　　　突き落とし</t>
    <rPh sb="10" eb="11">
      <t>ツ</t>
    </rPh>
    <rPh sb="12" eb="13">
      <t>オ</t>
    </rPh>
    <phoneticPr fontId="1"/>
  </si>
  <si>
    <t>　　　　　　　　　　創造物にくっつけ(後付け)</t>
    <rPh sb="10" eb="12">
      <t>ソウゾウ</t>
    </rPh>
    <rPh sb="12" eb="13">
      <t>ブツ</t>
    </rPh>
    <rPh sb="19" eb="20">
      <t>アト</t>
    </rPh>
    <rPh sb="20" eb="21">
      <t>ツ</t>
    </rPh>
    <phoneticPr fontId="1"/>
  </si>
  <si>
    <t>　　　　　　　　　　敵をダンゴに(範囲攻撃の的等)</t>
    <rPh sb="10" eb="11">
      <t>テキ</t>
    </rPh>
    <rPh sb="17" eb="19">
      <t>ハンイ</t>
    </rPh>
    <rPh sb="19" eb="21">
      <t>コウゲキ</t>
    </rPh>
    <rPh sb="22" eb="23">
      <t>マト</t>
    </rPh>
    <rPh sb="23" eb="24">
      <t>ナド</t>
    </rPh>
    <phoneticPr fontId="1"/>
  </si>
  <si>
    <t>　APで撃つ価値全くなし</t>
    <rPh sb="4" eb="5">
      <t>ウ</t>
    </rPh>
    <rPh sb="6" eb="8">
      <t>カチ</t>
    </rPh>
    <rPh sb="8" eb="9">
      <t>マッタ</t>
    </rPh>
    <phoneticPr fontId="1"/>
  </si>
  <si>
    <t>　STEP１：５マス以内に近付けたら撃つ　とりあえず撃つ　(温存する理由特になし)</t>
    <rPh sb="10" eb="12">
      <t>イナイ</t>
    </rPh>
    <rPh sb="13" eb="15">
      <t>チカヅ</t>
    </rPh>
    <rPh sb="18" eb="19">
      <t>ウ</t>
    </rPh>
    <rPh sb="26" eb="27">
      <t>ウ</t>
    </rPh>
    <rPh sb="30" eb="32">
      <t>オンゾン</t>
    </rPh>
    <rPh sb="34" eb="36">
      <t>リユウ</t>
    </rPh>
    <rPh sb="36" eb="37">
      <t>トク</t>
    </rPh>
    <phoneticPr fontId="1"/>
  </si>
  <si>
    <t>　STEP2：残HP３０以下の敵にトドメ</t>
    <rPh sb="7" eb="8">
      <t>ザン</t>
    </rPh>
    <rPh sb="12" eb="14">
      <t>イカ</t>
    </rPh>
    <rPh sb="15" eb="16">
      <t>テキ</t>
    </rPh>
    <phoneticPr fontId="1"/>
  </si>
  <si>
    <t>　　　　　　　　ただし、もともとST効果のダメージは1回入れば御の字なので温存の理由としては薄い</t>
    <rPh sb="18" eb="20">
      <t>コウカ</t>
    </rPh>
    <rPh sb="27" eb="28">
      <t>カイ</t>
    </rPh>
    <rPh sb="28" eb="29">
      <t>ハイ</t>
    </rPh>
    <rPh sb="31" eb="32">
      <t>オン</t>
    </rPh>
    <rPh sb="33" eb="34">
      <t>ジ</t>
    </rPh>
    <rPh sb="37" eb="39">
      <t>オンゾン</t>
    </rPh>
    <rPh sb="40" eb="42">
      <t>リユウ</t>
    </rPh>
    <rPh sb="46" eb="47">
      <t>ウス</t>
    </rPh>
    <phoneticPr fontId="1"/>
  </si>
  <si>
    <t>　STEP3：ハルト、リチャードのST効果(1日毎)とコンボの余地あり</t>
    <rPh sb="19" eb="21">
      <t>コウカ</t>
    </rPh>
    <rPh sb="23" eb="24">
      <t>ニチ</t>
    </rPh>
    <rPh sb="24" eb="25">
      <t>マイ</t>
    </rPh>
    <rPh sb="31" eb="33">
      <t>ヨチ</t>
    </rPh>
    <phoneticPr fontId="1"/>
  </si>
  <si>
    <t>　STEP４：味方が突き落とす直前に撃つ</t>
    <rPh sb="7" eb="9">
      <t>ミカタ</t>
    </rPh>
    <rPh sb="10" eb="11">
      <t>ツ</t>
    </rPh>
    <rPh sb="12" eb="13">
      <t>オ</t>
    </rPh>
    <rPh sb="15" eb="17">
      <t>チョクゼン</t>
    </rPh>
    <rPh sb="18" eb="19">
      <t>ウ</t>
    </rPh>
    <phoneticPr fontId="1"/>
  </si>
  <si>
    <t>　　　　　　　　　　　　　デンジャーST成功率を下げるために</t>
    <rPh sb="20" eb="23">
      <t>セイコウリツ</t>
    </rPh>
    <rPh sb="24" eb="25">
      <t>サ</t>
    </rPh>
    <phoneticPr fontId="1"/>
  </si>
  <si>
    <t>　APは継続ダメージとのコンボがあるので使っていいかも　（優先順位は並）</t>
    <rPh sb="4" eb="6">
      <t>ケイゾク</t>
    </rPh>
    <rPh sb="20" eb="21">
      <t>ツカ</t>
    </rPh>
    <rPh sb="29" eb="31">
      <t>ユウセン</t>
    </rPh>
    <rPh sb="31" eb="33">
      <t>ジュンイ</t>
    </rPh>
    <rPh sb="34" eb="35">
      <t>ナミ</t>
    </rPh>
    <phoneticPr fontId="1"/>
  </si>
  <si>
    <t>　STEP1：一度は必ず自分のターンを迎える敵に撃つ　その時以外は厳禁</t>
    <rPh sb="7" eb="9">
      <t>イチド</t>
    </rPh>
    <rPh sb="10" eb="11">
      <t>カナラ</t>
    </rPh>
    <rPh sb="12" eb="14">
      <t>ジブン</t>
    </rPh>
    <rPh sb="19" eb="20">
      <t>ムカ</t>
    </rPh>
    <rPh sb="22" eb="23">
      <t>テキ</t>
    </rPh>
    <rPh sb="24" eb="25">
      <t>ウ</t>
    </rPh>
    <rPh sb="29" eb="30">
      <t>トキ</t>
    </rPh>
    <rPh sb="30" eb="32">
      <t>イガイ</t>
    </rPh>
    <rPh sb="33" eb="35">
      <t>ゲンキン</t>
    </rPh>
    <phoneticPr fontId="1"/>
  </si>
  <si>
    <t>　　　　　　　　HPがクソ多い、まだピンピンしている、ミカのターンの直後が相手のターン等</t>
    <rPh sb="13" eb="14">
      <t>オオ</t>
    </rPh>
    <rPh sb="34" eb="36">
      <t>チョクゴ</t>
    </rPh>
    <rPh sb="37" eb="39">
      <t>アイテ</t>
    </rPh>
    <rPh sb="43" eb="44">
      <t>ナド</t>
    </rPh>
    <phoneticPr fontId="1"/>
  </si>
  <si>
    <t>　STEP２：グラスター(マーク全般)、モーちゃん(機会攻撃)とコンボの余地あり。</t>
    <rPh sb="16" eb="18">
      <t>ゼンパン</t>
    </rPh>
    <rPh sb="26" eb="28">
      <t>キカイ</t>
    </rPh>
    <rPh sb="28" eb="30">
      <t>コウゲキ</t>
    </rPh>
    <rPh sb="36" eb="38">
      <t>ヨチ</t>
    </rPh>
    <phoneticPr fontId="1"/>
  </si>
  <si>
    <t>　STEP３：範囲攻撃が得意な輩に撃つ</t>
    <rPh sb="7" eb="9">
      <t>ハンイ</t>
    </rPh>
    <rPh sb="9" eb="11">
      <t>コウゲキ</t>
    </rPh>
    <rPh sb="12" eb="14">
      <t>トクイ</t>
    </rPh>
    <rPh sb="15" eb="16">
      <t>ヤカラ</t>
    </rPh>
    <rPh sb="17" eb="18">
      <t>ウ</t>
    </rPh>
    <phoneticPr fontId="1"/>
  </si>
  <si>
    <t xml:space="preserve"> APは使う余地あり。　元々ピンピンしてる奴に撃つつもりだから効果が大きい。期待◎</t>
    <rPh sb="4" eb="5">
      <t>ツカ</t>
    </rPh>
    <rPh sb="6" eb="8">
      <t>ヨチ</t>
    </rPh>
    <rPh sb="12" eb="14">
      <t>モトモト</t>
    </rPh>
    <rPh sb="21" eb="22">
      <t>ヤツ</t>
    </rPh>
    <rPh sb="23" eb="24">
      <t>ウ</t>
    </rPh>
    <rPh sb="31" eb="33">
      <t>コウカ</t>
    </rPh>
    <rPh sb="34" eb="35">
      <t>オオ</t>
    </rPh>
    <rPh sb="38" eb="40">
      <t>キタイ</t>
    </rPh>
    <phoneticPr fontId="1"/>
  </si>
  <si>
    <t>　STEP1：他の遭遇毎を使い切ってたら　とりあえず撃つ</t>
    <rPh sb="7" eb="8">
      <t>ホカ</t>
    </rPh>
    <rPh sb="9" eb="11">
      <t>ソウグウ</t>
    </rPh>
    <rPh sb="11" eb="12">
      <t>マイ</t>
    </rPh>
    <rPh sb="13" eb="14">
      <t>ツカ</t>
    </rPh>
    <rPh sb="15" eb="16">
      <t>キ</t>
    </rPh>
    <rPh sb="26" eb="27">
      <t>ウ</t>
    </rPh>
    <phoneticPr fontId="1"/>
  </si>
  <si>
    <t>　STEP２：呪ってる敵が見えなくなったら　とりあえず撃つ</t>
    <rPh sb="7" eb="8">
      <t>ノロ</t>
    </rPh>
    <rPh sb="11" eb="12">
      <t>テキ</t>
    </rPh>
    <rPh sb="13" eb="14">
      <t>ミ</t>
    </rPh>
    <rPh sb="27" eb="28">
      <t>ウ</t>
    </rPh>
    <phoneticPr fontId="1"/>
  </si>
  <si>
    <t>　STEP3：伏せ以外のペナルティがついたら　とりあえず撃つ</t>
    <rPh sb="7" eb="8">
      <t>フ</t>
    </rPh>
    <rPh sb="9" eb="11">
      <t>イガイ</t>
    </rPh>
    <rPh sb="28" eb="29">
      <t>ウ</t>
    </rPh>
    <phoneticPr fontId="1"/>
  </si>
  <si>
    <t>　STEP４：残HP３０以下の敵にトドメ</t>
    <rPh sb="7" eb="8">
      <t>ザン</t>
    </rPh>
    <rPh sb="12" eb="14">
      <t>イカ</t>
    </rPh>
    <rPh sb="15" eb="16">
      <t>テキ</t>
    </rPh>
    <phoneticPr fontId="1"/>
  </si>
  <si>
    <t>　AP使うかはビミョーだが、無限回よりも使う価値はアリか？　　(優先順位は中の下)</t>
    <rPh sb="3" eb="4">
      <t>ツカ</t>
    </rPh>
    <rPh sb="14" eb="16">
      <t>ムゲン</t>
    </rPh>
    <rPh sb="16" eb="17">
      <t>カイ</t>
    </rPh>
    <rPh sb="20" eb="21">
      <t>ツカ</t>
    </rPh>
    <rPh sb="22" eb="24">
      <t>カチ</t>
    </rPh>
    <rPh sb="32" eb="34">
      <t>ユウセン</t>
    </rPh>
    <rPh sb="34" eb="36">
      <t>ジュンイ</t>
    </rPh>
    <rPh sb="37" eb="38">
      <t>チュウ</t>
    </rPh>
    <rPh sb="39" eb="40">
      <t>ゲ</t>
    </rPh>
    <phoneticPr fontId="1"/>
  </si>
  <si>
    <t>　　　　　　　　例：　つかみ・拘束解除　突き落とし　創造物にくっつけ　敵をダンゴに</t>
    <phoneticPr fontId="1"/>
  </si>
  <si>
    <t>　STEP３：残HP３０以下の敵にトドメ</t>
    <rPh sb="7" eb="8">
      <t>ザン</t>
    </rPh>
    <rPh sb="12" eb="14">
      <t>イカ</t>
    </rPh>
    <rPh sb="15" eb="16">
      <t>テキ</t>
    </rPh>
    <phoneticPr fontId="1"/>
  </si>
  <si>
    <t>　STEP４：ハルト、リチャードのST効果(1日毎)とコンボの余地あり</t>
    <rPh sb="19" eb="21">
      <t>コウカ</t>
    </rPh>
    <rPh sb="23" eb="24">
      <t>ニチ</t>
    </rPh>
    <rPh sb="24" eb="25">
      <t>マイ</t>
    </rPh>
    <rPh sb="31" eb="33">
      <t>ヨチ</t>
    </rPh>
    <phoneticPr fontId="1"/>
  </si>
  <si>
    <t>　STEP５：味方が突き落とす直前に撃つ（デンジャーST成功率を下げるために）</t>
    <rPh sb="7" eb="9">
      <t>ミカタ</t>
    </rPh>
    <rPh sb="10" eb="11">
      <t>ツ</t>
    </rPh>
    <rPh sb="12" eb="13">
      <t>オ</t>
    </rPh>
    <rPh sb="15" eb="17">
      <t>チョクゼン</t>
    </rPh>
    <rPh sb="18" eb="19">
      <t>ウ</t>
    </rPh>
    <phoneticPr fontId="1"/>
  </si>
  <si>
    <t>　STEP２：押しやるとゲームが盛り上がる時に撃つ　　　</t>
    <rPh sb="7" eb="8">
      <t>オ</t>
    </rPh>
    <rPh sb="16" eb="17">
      <t>モ</t>
    </rPh>
    <rPh sb="18" eb="19">
      <t>ア</t>
    </rPh>
    <rPh sb="21" eb="22">
      <t>トキ</t>
    </rPh>
    <rPh sb="23" eb="24">
      <t>ウ</t>
    </rPh>
    <phoneticPr fontId="1"/>
  </si>
  <si>
    <t>　STEP1：重傷に期待せず、とっとと殺りたいピンピンしてる奴に撃つ</t>
    <rPh sb="7" eb="9">
      <t>ジュウショウ</t>
    </rPh>
    <rPh sb="10" eb="12">
      <t>キタイ</t>
    </rPh>
    <rPh sb="19" eb="20">
      <t>コロ</t>
    </rPh>
    <rPh sb="30" eb="31">
      <t>ヤツ</t>
    </rPh>
    <rPh sb="32" eb="33">
      <t>ウ</t>
    </rPh>
    <phoneticPr fontId="1"/>
  </si>
  <si>
    <t>　　　　　　　マイナー維持＋待機で　1ラウンドに2回呪いダメージを叩き込め！！</t>
    <rPh sb="11" eb="13">
      <t>イジ</t>
    </rPh>
    <rPh sb="14" eb="16">
      <t>タイキ</t>
    </rPh>
    <rPh sb="25" eb="26">
      <t>カイ</t>
    </rPh>
    <rPh sb="26" eb="27">
      <t>ノロ</t>
    </rPh>
    <rPh sb="33" eb="34">
      <t>タタ</t>
    </rPh>
    <rPh sb="35" eb="36">
      <t>コ</t>
    </rPh>
    <phoneticPr fontId="1"/>
  </si>
  <si>
    <t>　STEP2：特になし　　STEP1厳守　　　　幻惑だけはマジ勘弁</t>
    <rPh sb="7" eb="8">
      <t>トク</t>
    </rPh>
    <rPh sb="18" eb="20">
      <t>ゲンシュ</t>
    </rPh>
    <rPh sb="24" eb="26">
      <t>ゲンワク</t>
    </rPh>
    <rPh sb="31" eb="33">
      <t>カンベン</t>
    </rPh>
    <phoneticPr fontId="1"/>
  </si>
  <si>
    <t>　APを使うほどではないが　APの攻撃が外れたら、残りの標準アクションで使ってもいいかも。</t>
    <rPh sb="4" eb="5">
      <t>ツカ</t>
    </rPh>
    <rPh sb="17" eb="19">
      <t>コウゲキ</t>
    </rPh>
    <rPh sb="20" eb="21">
      <t>ハズ</t>
    </rPh>
    <rPh sb="25" eb="26">
      <t>ノコ</t>
    </rPh>
    <rPh sb="28" eb="30">
      <t>ヒョウジュン</t>
    </rPh>
    <rPh sb="36" eb="37">
      <t>ツカ</t>
    </rPh>
    <phoneticPr fontId="1"/>
  </si>
  <si>
    <t>　STEP１：敵がコケたら面白そうな時に撃つ　（あまり期待しないように）</t>
    <rPh sb="7" eb="8">
      <t>テキ</t>
    </rPh>
    <rPh sb="13" eb="15">
      <t>オモシロ</t>
    </rPh>
    <rPh sb="18" eb="19">
      <t>トキ</t>
    </rPh>
    <rPh sb="20" eb="21">
      <t>ウ</t>
    </rPh>
    <rPh sb="27" eb="29">
      <t>キタイ</t>
    </rPh>
    <phoneticPr fontId="1"/>
  </si>
  <si>
    <t>　STEP３：残HP３０程度の敵へのトドメ</t>
    <rPh sb="7" eb="8">
      <t>ザン</t>
    </rPh>
    <rPh sb="12" eb="14">
      <t>テイド</t>
    </rPh>
    <rPh sb="15" eb="16">
      <t>テキ</t>
    </rPh>
    <phoneticPr fontId="1"/>
  </si>
  <si>
    <t>　　　　　　　　　　ST効果は本当に期待するな。</t>
    <rPh sb="12" eb="14">
      <t>コウカ</t>
    </rPh>
    <rPh sb="15" eb="17">
      <t>ホントウ</t>
    </rPh>
    <rPh sb="18" eb="20">
      <t>キタイ</t>
    </rPh>
    <phoneticPr fontId="1"/>
  </si>
  <si>
    <t>　STEP2：反応が低い敵に撃つ　　　　　　　　　　　　　　　でも、吉本新喜劇状態になると楽しいよねｗ</t>
    <rPh sb="7" eb="9">
      <t>ハンノウ</t>
    </rPh>
    <rPh sb="10" eb="11">
      <t>ヒク</t>
    </rPh>
    <rPh sb="12" eb="13">
      <t>テキ</t>
    </rPh>
    <rPh sb="14" eb="15">
      <t>ウ</t>
    </rPh>
    <rPh sb="34" eb="36">
      <t>ヨシモト</t>
    </rPh>
    <rPh sb="36" eb="39">
      <t>シンキゲキ</t>
    </rPh>
    <rPh sb="39" eb="41">
      <t>ジョウタイ</t>
    </rPh>
    <rPh sb="45" eb="46">
      <t>タノ</t>
    </rPh>
    <phoneticPr fontId="1"/>
  </si>
  <si>
    <t>　AP使うかはビミョーだが　まぁ　ダメージは高いし　　　(優先順位は並)</t>
    <rPh sb="3" eb="4">
      <t>ツカ</t>
    </rPh>
    <rPh sb="22" eb="23">
      <t>タカ</t>
    </rPh>
    <rPh sb="29" eb="31">
      <t>ユウセン</t>
    </rPh>
    <rPh sb="31" eb="33">
      <t>ジュンイ</t>
    </rPh>
    <rPh sb="34" eb="35">
      <t>ナミ</t>
    </rPh>
    <phoneticPr fontId="1"/>
  </si>
  <si>
    <t xml:space="preserve"> </t>
    <phoneticPr fontId="1"/>
  </si>
  <si>
    <t>　STEP1：APを使って撃つ　それしかない！</t>
    <rPh sb="10" eb="11">
      <t>ツカ</t>
    </rPh>
    <rPh sb="13" eb="14">
      <t>ウ</t>
    </rPh>
    <phoneticPr fontId="1"/>
  </si>
  <si>
    <t>　　　　　　HPの多い敵をとっとと殺る時に使う。　本当にそれだけ。</t>
    <rPh sb="9" eb="10">
      <t>オオ</t>
    </rPh>
    <rPh sb="11" eb="12">
      <t>テキ</t>
    </rPh>
    <rPh sb="17" eb="18">
      <t>コロ</t>
    </rPh>
    <rPh sb="19" eb="20">
      <t>トキ</t>
    </rPh>
    <rPh sb="21" eb="22">
      <t>ツカ</t>
    </rPh>
    <rPh sb="25" eb="27">
      <t>ホントウ</t>
    </rPh>
    <phoneticPr fontId="1"/>
  </si>
  <si>
    <t>　　　　　　出し惜しみなし。　遭遇の早い内にとっとと使えば効果は大きい。</t>
    <rPh sb="6" eb="7">
      <t>ダ</t>
    </rPh>
    <rPh sb="8" eb="9">
      <t>オ</t>
    </rPh>
    <rPh sb="15" eb="17">
      <t>ソウグウ</t>
    </rPh>
    <rPh sb="18" eb="19">
      <t>ハヤ</t>
    </rPh>
    <rPh sb="20" eb="21">
      <t>ウチ</t>
    </rPh>
    <rPh sb="26" eb="27">
      <t>ツカ</t>
    </rPh>
    <rPh sb="29" eb="31">
      <t>コウカ</t>
    </rPh>
    <rPh sb="32" eb="33">
      <t>オオ</t>
    </rPh>
    <phoneticPr fontId="1"/>
  </si>
  <si>
    <t>　　　　　　残りの標準アクションは待機でウルバン、当たればコンボ(超実践的)</t>
    <rPh sb="6" eb="7">
      <t>ノコ</t>
    </rPh>
    <rPh sb="9" eb="11">
      <t>ヒョウジュン</t>
    </rPh>
    <rPh sb="17" eb="19">
      <t>タイキ</t>
    </rPh>
    <rPh sb="25" eb="26">
      <t>ア</t>
    </rPh>
    <rPh sb="33" eb="34">
      <t>チョウ</t>
    </rPh>
    <rPh sb="34" eb="37">
      <t>ジッセンテキ</t>
    </rPh>
    <phoneticPr fontId="1"/>
  </si>
  <si>
    <t>　APを使って撃つ意外考えられない。　必ずそうしろ。　うまくいけばマッハで3ケタ削る。</t>
    <rPh sb="4" eb="5">
      <t>ツカ</t>
    </rPh>
    <rPh sb="7" eb="8">
      <t>ウ</t>
    </rPh>
    <rPh sb="9" eb="11">
      <t>イガイ</t>
    </rPh>
    <rPh sb="11" eb="12">
      <t>カンガ</t>
    </rPh>
    <rPh sb="19" eb="20">
      <t>カナラ</t>
    </rPh>
    <rPh sb="40" eb="41">
      <t>ケズ</t>
    </rPh>
    <phoneticPr fontId="1"/>
  </si>
  <si>
    <t>　APを使う時は標準アクション外れの補填でなく、</t>
    <rPh sb="4" eb="5">
      <t>ツカ</t>
    </rPh>
    <rPh sb="6" eb="7">
      <t>トキ</t>
    </rPh>
    <rPh sb="8" eb="10">
      <t>ヒョウジュン</t>
    </rPh>
    <rPh sb="15" eb="16">
      <t>ハズ</t>
    </rPh>
    <rPh sb="18" eb="20">
      <t>ホテン</t>
    </rPh>
    <phoneticPr fontId="1"/>
  </si>
  <si>
    <t>　最初からAPを宣言し、APのアクションで攻撃し、残った標準アクションを待機して呪いを2回与える。</t>
    <rPh sb="1" eb="3">
      <t>サイショ</t>
    </rPh>
    <rPh sb="8" eb="10">
      <t>センゲン</t>
    </rPh>
    <rPh sb="21" eb="23">
      <t>コウゲキ</t>
    </rPh>
    <rPh sb="25" eb="26">
      <t>ノコ</t>
    </rPh>
    <rPh sb="28" eb="30">
      <t>ヒョウジュン</t>
    </rPh>
    <rPh sb="36" eb="38">
      <t>タイキ</t>
    </rPh>
    <rPh sb="40" eb="41">
      <t>ノロ</t>
    </rPh>
    <rPh sb="44" eb="45">
      <t>カイ</t>
    </rPh>
    <rPh sb="45" eb="46">
      <t>アタ</t>
    </rPh>
    <phoneticPr fontId="1"/>
  </si>
  <si>
    <t>　　　　　　　　　　　　　　　　　　　　　　　　　　　　　　　　　　　半減ダメージ注意！　呪い予告致命は乗らない</t>
    <rPh sb="35" eb="37">
      <t>ハンゲン</t>
    </rPh>
    <rPh sb="41" eb="43">
      <t>チュウイ</t>
    </rPh>
    <rPh sb="45" eb="46">
      <t>ノロ</t>
    </rPh>
    <rPh sb="47" eb="49">
      <t>ヨコク</t>
    </rPh>
    <rPh sb="49" eb="51">
      <t>チメイ</t>
    </rPh>
    <rPh sb="52" eb="53">
      <t>ノ</t>
    </rPh>
    <phoneticPr fontId="1"/>
  </si>
  <si>
    <t>Ver.</t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</si>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</sst>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7" borderId="3" xfId="0" applyFont="1" applyFill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0" fontId="7" fillId="7" borderId="1" xfId="0" applyFont="1" applyFill="1" applyBorder="1" applyAlignment="1">
      <alignment horizontal="center" vertical="center"/>
    </xf>
    <xf numFmtId="0" fontId="0" fillId="15" borderId="1" xfId="0" applyFill="1" applyBorder="1">
      <alignment vertical="center"/>
    </xf>
    <xf numFmtId="0" fontId="0" fillId="15" borderId="3" xfId="0" applyFill="1" applyBorder="1">
      <alignment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4" fillId="16" borderId="17" xfId="0" applyFont="1" applyFill="1" applyBorder="1" applyAlignment="1">
      <alignment horizontal="center" vertical="center" wrapText="1"/>
    </xf>
    <xf numFmtId="0" fontId="15" fillId="15" borderId="29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36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11" fillId="15" borderId="36" xfId="0" applyFont="1" applyFill="1" applyBorder="1" applyAlignment="1">
      <alignment vertical="center"/>
    </xf>
    <xf numFmtId="0" fontId="11" fillId="15" borderId="3" xfId="0" applyFont="1" applyFill="1" applyBorder="1" applyAlignment="1">
      <alignment vertical="center"/>
    </xf>
    <xf numFmtId="0" fontId="8" fillId="17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19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4" borderId="42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 shrinkToFit="1"/>
    </xf>
    <xf numFmtId="0" fontId="9" fillId="18" borderId="30" xfId="0" applyFont="1" applyFill="1" applyBorder="1" applyAlignment="1">
      <alignment horizontal="center" vertical="center" shrinkToFit="1"/>
    </xf>
    <xf numFmtId="0" fontId="10" fillId="18" borderId="1" xfId="0" applyFont="1" applyFill="1" applyBorder="1" applyAlignment="1">
      <alignment horizontal="center" vertical="center" shrinkToFit="1"/>
    </xf>
    <xf numFmtId="0" fontId="9" fillId="18" borderId="1" xfId="0" applyFont="1" applyFill="1" applyBorder="1" applyAlignment="1">
      <alignment horizontal="center" vertical="center" shrinkToFit="1"/>
    </xf>
    <xf numFmtId="0" fontId="8" fillId="17" borderId="1" xfId="0" applyFont="1" applyFill="1" applyBorder="1" applyAlignment="1">
      <alignment horizontal="center" vertical="center" shrinkToFit="1"/>
    </xf>
    <xf numFmtId="0" fontId="9" fillId="17" borderId="30" xfId="0" applyFont="1" applyFill="1" applyBorder="1" applyAlignment="1">
      <alignment horizontal="center" vertical="center" shrinkToFit="1"/>
    </xf>
    <xf numFmtId="0" fontId="10" fillId="17" borderId="1" xfId="0" applyFont="1" applyFill="1" applyBorder="1" applyAlignment="1">
      <alignment horizontal="center" vertical="center" shrinkToFit="1"/>
    </xf>
    <xf numFmtId="0" fontId="9" fillId="17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9" fillId="8" borderId="30" xfId="0" applyFont="1" applyFill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8" borderId="33" xfId="0" applyFont="1" applyFill="1" applyBorder="1" applyAlignment="1">
      <alignment horizontal="center" vertical="center" shrinkToFit="1"/>
    </xf>
    <xf numFmtId="0" fontId="6" fillId="8" borderId="34" xfId="0" applyFont="1" applyFill="1" applyBorder="1" applyAlignment="1">
      <alignment horizontal="center" vertical="center" shrinkToFit="1"/>
    </xf>
    <xf numFmtId="0" fontId="6" fillId="8" borderId="3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shrinkToFit="1"/>
    </xf>
    <xf numFmtId="0" fontId="9" fillId="8" borderId="31" xfId="0" applyFont="1" applyFill="1" applyBorder="1" applyAlignment="1">
      <alignment horizontal="center" vertical="center" shrinkToFit="1"/>
    </xf>
    <xf numFmtId="0" fontId="9" fillId="8" borderId="32" xfId="0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left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15" borderId="23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9" fillId="17" borderId="30" xfId="0" applyFont="1" applyFill="1" applyBorder="1" applyAlignment="1">
      <alignment horizontal="center" vertical="center"/>
    </xf>
    <xf numFmtId="0" fontId="9" fillId="17" borderId="32" xfId="0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center" vertical="center"/>
    </xf>
    <xf numFmtId="0" fontId="10" fillId="17" borderId="32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left" vertical="center"/>
    </xf>
    <xf numFmtId="0" fontId="9" fillId="17" borderId="30" xfId="0" applyFont="1" applyFill="1" applyBorder="1" applyAlignment="1">
      <alignment horizontal="center" vertical="center" shrinkToFit="1"/>
    </xf>
    <xf numFmtId="0" fontId="9" fillId="17" borderId="31" xfId="0" applyFont="1" applyFill="1" applyBorder="1" applyAlignment="1">
      <alignment horizontal="center" vertical="center" shrinkToFit="1"/>
    </xf>
    <xf numFmtId="0" fontId="9" fillId="17" borderId="32" xfId="0" applyFont="1" applyFill="1" applyBorder="1" applyAlignment="1">
      <alignment horizontal="center" vertical="center" shrinkToFit="1"/>
    </xf>
    <xf numFmtId="0" fontId="6" fillId="17" borderId="33" xfId="0" applyFont="1" applyFill="1" applyBorder="1" applyAlignment="1">
      <alignment horizontal="center" vertical="center" shrinkToFit="1"/>
    </xf>
    <xf numFmtId="0" fontId="6" fillId="17" borderId="34" xfId="0" applyFont="1" applyFill="1" applyBorder="1" applyAlignment="1">
      <alignment horizontal="center" vertical="center" shrinkToFit="1"/>
    </xf>
    <xf numFmtId="0" fontId="6" fillId="17" borderId="35" xfId="0" applyFont="1" applyFill="1" applyBorder="1" applyAlignment="1">
      <alignment horizontal="center" vertical="center" shrinkToFit="1"/>
    </xf>
    <xf numFmtId="0" fontId="4" fillId="17" borderId="33" xfId="0" applyFont="1" applyFill="1" applyBorder="1" applyAlignment="1">
      <alignment horizontal="center" vertical="center" shrinkToFit="1"/>
    </xf>
    <xf numFmtId="0" fontId="4" fillId="17" borderId="34" xfId="0" applyFont="1" applyFill="1" applyBorder="1" applyAlignment="1">
      <alignment horizontal="center" vertical="center" shrinkToFit="1"/>
    </xf>
    <xf numFmtId="0" fontId="4" fillId="17" borderId="35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6" fillId="18" borderId="33" xfId="0" applyFont="1" applyFill="1" applyBorder="1" applyAlignment="1">
      <alignment horizontal="center" vertical="center" shrinkToFit="1"/>
    </xf>
    <xf numFmtId="0" fontId="6" fillId="18" borderId="34" xfId="0" applyFont="1" applyFill="1" applyBorder="1" applyAlignment="1">
      <alignment horizontal="center" vertical="center" shrinkToFit="1"/>
    </xf>
    <xf numFmtId="0" fontId="6" fillId="18" borderId="35" xfId="0" applyFont="1" applyFill="1" applyBorder="1" applyAlignment="1">
      <alignment horizontal="center" vertical="center" shrinkToFit="1"/>
    </xf>
    <xf numFmtId="0" fontId="9" fillId="18" borderId="30" xfId="0" applyFont="1" applyFill="1" applyBorder="1" applyAlignment="1">
      <alignment horizontal="center" vertical="center" shrinkToFit="1"/>
    </xf>
    <xf numFmtId="0" fontId="9" fillId="18" borderId="31" xfId="0" applyFont="1" applyFill="1" applyBorder="1" applyAlignment="1">
      <alignment horizontal="center" vertical="center" shrinkToFit="1"/>
    </xf>
    <xf numFmtId="0" fontId="9" fillId="18" borderId="32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left" vertical="center" wrapText="1"/>
    </xf>
    <xf numFmtId="0" fontId="9" fillId="18" borderId="30" xfId="0" applyFont="1" applyFill="1" applyBorder="1" applyAlignment="1">
      <alignment horizontal="center" vertical="center"/>
    </xf>
    <xf numFmtId="0" fontId="9" fillId="18" borderId="32" xfId="0" applyFont="1" applyFill="1" applyBorder="1" applyAlignment="1">
      <alignment horizontal="center" vertical="center"/>
    </xf>
    <xf numFmtId="0" fontId="10" fillId="18" borderId="30" xfId="0" applyFont="1" applyFill="1" applyBorder="1" applyAlignment="1">
      <alignment horizontal="center" vertical="center"/>
    </xf>
    <xf numFmtId="0" fontId="10" fillId="18" borderId="32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</cellXfs>
  <cellStyles count="1">
    <cellStyle name="標準" xfId="0" builtinId="0"/>
  </cellStyles>
  <dxfs count="2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N2" sqref="N2"/>
    </sheetView>
  </sheetViews>
  <sheetFormatPr defaultRowHeight="13.5"/>
  <cols>
    <col min="3" max="3" width="11" bestFit="1" customWidth="1"/>
  </cols>
  <sheetData>
    <row r="1" spans="1:14">
      <c r="A1" s="29" t="s">
        <v>41</v>
      </c>
      <c r="B1" s="99" t="s">
        <v>158</v>
      </c>
      <c r="C1" s="99"/>
      <c r="D1" s="99"/>
      <c r="M1" s="95" t="s">
        <v>244</v>
      </c>
      <c r="N1" s="96">
        <v>0.4</v>
      </c>
    </row>
    <row r="2" spans="1:14">
      <c r="A2" s="29" t="s">
        <v>42</v>
      </c>
      <c r="B2" s="99" t="s">
        <v>157</v>
      </c>
      <c r="C2" s="99"/>
      <c r="D2" s="99"/>
      <c r="N2" t="s">
        <v>245</v>
      </c>
    </row>
    <row r="3" spans="1:14">
      <c r="A3" s="30" t="s">
        <v>43</v>
      </c>
      <c r="B3" s="25">
        <v>13</v>
      </c>
    </row>
    <row r="4" spans="1:14">
      <c r="A4" s="24"/>
      <c r="B4" s="22" t="s">
        <v>20</v>
      </c>
      <c r="C4" s="22" t="s">
        <v>21</v>
      </c>
      <c r="D4" s="22"/>
      <c r="F4" t="s">
        <v>51</v>
      </c>
    </row>
    <row r="5" spans="1:14">
      <c r="A5" s="29" t="s">
        <v>22</v>
      </c>
      <c r="B5" s="20">
        <v>9</v>
      </c>
      <c r="C5" s="64">
        <f>INT(($B$5-10)/2)</f>
        <v>-1</v>
      </c>
      <c r="D5" s="5">
        <v>5</v>
      </c>
      <c r="F5" s="97" t="s">
        <v>50</v>
      </c>
      <c r="G5" s="97"/>
      <c r="H5" s="97"/>
      <c r="I5" s="97"/>
      <c r="J5" s="97"/>
      <c r="K5" s="97"/>
      <c r="L5" s="97"/>
      <c r="M5" s="97"/>
      <c r="N5" s="97"/>
    </row>
    <row r="6" spans="1:14">
      <c r="A6" s="29" t="s">
        <v>23</v>
      </c>
      <c r="B6" s="20">
        <v>14</v>
      </c>
      <c r="C6" s="64">
        <f>INT(($B$6-10)/2)</f>
        <v>2</v>
      </c>
      <c r="D6" s="5">
        <v>8</v>
      </c>
      <c r="F6" s="22" t="s">
        <v>32</v>
      </c>
      <c r="G6" s="22" t="s">
        <v>33</v>
      </c>
      <c r="H6" s="22" t="s">
        <v>34</v>
      </c>
      <c r="I6" s="22" t="s">
        <v>35</v>
      </c>
      <c r="J6" s="22" t="s">
        <v>36</v>
      </c>
      <c r="K6" s="22" t="s">
        <v>37</v>
      </c>
      <c r="L6" s="22" t="s">
        <v>18</v>
      </c>
      <c r="M6" s="22" t="s">
        <v>38</v>
      </c>
      <c r="N6" s="22" t="s">
        <v>39</v>
      </c>
    </row>
    <row r="7" spans="1:14">
      <c r="A7" s="29" t="s">
        <v>24</v>
      </c>
      <c r="B7" s="20">
        <v>14</v>
      </c>
      <c r="C7" s="64">
        <f>INT(($B$7-10)/2)</f>
        <v>2</v>
      </c>
      <c r="D7" s="5">
        <v>8</v>
      </c>
      <c r="F7" s="2" t="s">
        <v>40</v>
      </c>
      <c r="G7" s="2">
        <f>SUM(I7:N7)</f>
        <v>7</v>
      </c>
      <c r="H7" s="2" t="s">
        <v>22</v>
      </c>
      <c r="I7" s="2">
        <f>$C$5</f>
        <v>-1</v>
      </c>
      <c r="J7" s="2">
        <f>INT(B3/2)</f>
        <v>6</v>
      </c>
      <c r="K7" s="20">
        <v>2</v>
      </c>
      <c r="L7" s="20">
        <v>0</v>
      </c>
      <c r="M7" s="20">
        <v>0</v>
      </c>
      <c r="N7" s="20">
        <v>0</v>
      </c>
    </row>
    <row r="8" spans="1:14">
      <c r="A8" s="29" t="s">
        <v>25</v>
      </c>
      <c r="B8" s="20">
        <v>19</v>
      </c>
      <c r="C8" s="64">
        <f>INT(($B$8-10)/2)</f>
        <v>4</v>
      </c>
      <c r="D8" s="5">
        <v>10</v>
      </c>
      <c r="F8" s="98" t="s">
        <v>44</v>
      </c>
      <c r="G8" s="98"/>
      <c r="H8" s="98" t="s">
        <v>46</v>
      </c>
      <c r="I8" s="98"/>
      <c r="J8" s="22" t="s">
        <v>34</v>
      </c>
      <c r="K8" s="22" t="s">
        <v>35</v>
      </c>
      <c r="L8" s="22" t="s">
        <v>18</v>
      </c>
      <c r="M8" s="22" t="s">
        <v>38</v>
      </c>
      <c r="N8" s="22" t="s">
        <v>39</v>
      </c>
    </row>
    <row r="9" spans="1:14">
      <c r="A9" s="29" t="s">
        <v>26</v>
      </c>
      <c r="B9" s="20">
        <v>11</v>
      </c>
      <c r="C9" s="64">
        <f>INT(($B$9-10)/2)</f>
        <v>0</v>
      </c>
      <c r="D9" s="5">
        <v>6</v>
      </c>
      <c r="F9" s="97" t="s">
        <v>45</v>
      </c>
      <c r="G9" s="97"/>
      <c r="H9" s="97">
        <f>SUM(K9:N9)</f>
        <v>-1</v>
      </c>
      <c r="I9" s="97"/>
      <c r="J9" s="2" t="s">
        <v>22</v>
      </c>
      <c r="K9" s="2">
        <f>$C$5</f>
        <v>-1</v>
      </c>
      <c r="L9" s="20">
        <v>0</v>
      </c>
      <c r="M9" s="20">
        <v>0</v>
      </c>
      <c r="N9" s="20">
        <v>0</v>
      </c>
    </row>
    <row r="10" spans="1:14">
      <c r="A10" s="29" t="s">
        <v>27</v>
      </c>
      <c r="B10" s="20">
        <v>21</v>
      </c>
      <c r="C10" s="64">
        <f>INT(($B$10-10)/2)</f>
        <v>5</v>
      </c>
      <c r="D10" s="5">
        <v>11</v>
      </c>
      <c r="F10" s="98" t="s">
        <v>47</v>
      </c>
      <c r="G10" s="98"/>
      <c r="H10" s="98" t="s">
        <v>48</v>
      </c>
      <c r="I10" s="98"/>
      <c r="J10" s="98"/>
      <c r="K10" s="98"/>
      <c r="L10" s="98" t="s">
        <v>49</v>
      </c>
      <c r="M10" s="98"/>
      <c r="N10" s="98"/>
    </row>
    <row r="11" spans="1:14">
      <c r="F11" s="97" t="s">
        <v>28</v>
      </c>
      <c r="G11" s="97"/>
      <c r="H11" s="97"/>
      <c r="I11" s="97"/>
      <c r="J11" s="97"/>
      <c r="K11" s="97"/>
      <c r="L11" s="20"/>
      <c r="M11" s="5"/>
      <c r="N11" s="20"/>
    </row>
    <row r="12" spans="1:14"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F13" s="3" t="s">
        <v>70</v>
      </c>
      <c r="G13" s="1"/>
      <c r="H13" s="1"/>
      <c r="I13" s="1"/>
      <c r="J13" s="1"/>
      <c r="K13" s="1"/>
      <c r="L13" s="1"/>
      <c r="M13" s="1"/>
      <c r="N13" s="1"/>
    </row>
    <row r="14" spans="1:14">
      <c r="A14" s="29" t="s">
        <v>28</v>
      </c>
      <c r="B14" s="27">
        <v>24</v>
      </c>
      <c r="F14" s="97" t="s">
        <v>52</v>
      </c>
      <c r="G14" s="97"/>
      <c r="H14" s="97"/>
      <c r="I14" s="97"/>
      <c r="J14" s="97"/>
      <c r="K14" s="97"/>
      <c r="L14" s="97"/>
      <c r="M14" s="97"/>
      <c r="N14" s="97"/>
    </row>
    <row r="15" spans="1:14">
      <c r="A15" s="29" t="s">
        <v>29</v>
      </c>
      <c r="B15" s="27">
        <v>20</v>
      </c>
      <c r="F15" s="22" t="s">
        <v>32</v>
      </c>
      <c r="G15" s="22" t="s">
        <v>33</v>
      </c>
      <c r="H15" s="22" t="s">
        <v>34</v>
      </c>
      <c r="I15" s="22" t="s">
        <v>35</v>
      </c>
      <c r="J15" s="22" t="s">
        <v>36</v>
      </c>
      <c r="K15" s="22" t="s">
        <v>37</v>
      </c>
      <c r="L15" s="22" t="s">
        <v>18</v>
      </c>
      <c r="M15" s="22" t="s">
        <v>38</v>
      </c>
      <c r="N15" s="22" t="s">
        <v>39</v>
      </c>
    </row>
    <row r="16" spans="1:14">
      <c r="A16" s="29" t="s">
        <v>30</v>
      </c>
      <c r="B16" s="27">
        <v>23</v>
      </c>
      <c r="F16" s="2" t="s">
        <v>40</v>
      </c>
      <c r="G16" s="2">
        <f>SUM(I16:N16)</f>
        <v>16</v>
      </c>
      <c r="H16" s="2" t="s">
        <v>27</v>
      </c>
      <c r="I16" s="2">
        <f>$C$10</f>
        <v>5</v>
      </c>
      <c r="J16" s="2">
        <f>INT($B$3/2)</f>
        <v>6</v>
      </c>
      <c r="K16" s="20">
        <v>2</v>
      </c>
      <c r="L16" s="20">
        <v>0</v>
      </c>
      <c r="M16" s="20">
        <v>3</v>
      </c>
      <c r="N16" s="20">
        <v>0</v>
      </c>
    </row>
    <row r="17" spans="1:14">
      <c r="A17" s="29" t="s">
        <v>31</v>
      </c>
      <c r="B17" s="27">
        <v>27</v>
      </c>
      <c r="F17" s="98" t="s">
        <v>44</v>
      </c>
      <c r="G17" s="98"/>
      <c r="H17" s="98" t="s">
        <v>46</v>
      </c>
      <c r="I17" s="98"/>
      <c r="J17" s="22" t="s">
        <v>34</v>
      </c>
      <c r="K17" s="22" t="s">
        <v>35</v>
      </c>
      <c r="L17" s="22" t="s">
        <v>18</v>
      </c>
      <c r="M17" s="22" t="s">
        <v>38</v>
      </c>
      <c r="N17" s="22" t="s">
        <v>39</v>
      </c>
    </row>
    <row r="18" spans="1:14">
      <c r="F18" s="97" t="s">
        <v>54</v>
      </c>
      <c r="G18" s="97"/>
      <c r="H18" s="97">
        <f>SUM(K18:N18)</f>
        <v>10</v>
      </c>
      <c r="I18" s="97"/>
      <c r="J18" s="2" t="s">
        <v>27</v>
      </c>
      <c r="K18" s="2">
        <f>$C$10</f>
        <v>5</v>
      </c>
      <c r="L18" s="20">
        <v>0</v>
      </c>
      <c r="M18" s="20">
        <v>5</v>
      </c>
      <c r="N18" s="20">
        <v>0</v>
      </c>
    </row>
    <row r="19" spans="1:14">
      <c r="F19" s="98" t="s">
        <v>47</v>
      </c>
      <c r="G19" s="98"/>
      <c r="H19" s="98" t="s">
        <v>48</v>
      </c>
      <c r="I19" s="98"/>
      <c r="J19" s="98"/>
      <c r="K19" s="98"/>
      <c r="L19" s="98" t="s">
        <v>49</v>
      </c>
      <c r="M19" s="98"/>
      <c r="N19" s="98"/>
    </row>
    <row r="20" spans="1:14">
      <c r="B20" s="98" t="s">
        <v>79</v>
      </c>
      <c r="C20" s="98"/>
      <c r="D20" s="98"/>
      <c r="F20" s="97" t="s">
        <v>30</v>
      </c>
      <c r="G20" s="97"/>
      <c r="H20" s="97" t="s">
        <v>55</v>
      </c>
      <c r="I20" s="97"/>
      <c r="J20" s="97"/>
      <c r="K20" s="97"/>
      <c r="L20" s="20">
        <v>3</v>
      </c>
      <c r="M20" s="5" t="s">
        <v>78</v>
      </c>
      <c r="N20" s="20">
        <v>10</v>
      </c>
    </row>
    <row r="21" spans="1:14">
      <c r="B21" s="20">
        <v>2</v>
      </c>
      <c r="C21" s="5" t="s">
        <v>77</v>
      </c>
      <c r="D21" s="28">
        <v>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F22" s="3" t="s">
        <v>71</v>
      </c>
      <c r="G22" s="1"/>
      <c r="H22" s="1"/>
      <c r="I22" s="1"/>
      <c r="J22" s="1"/>
      <c r="K22" s="1"/>
      <c r="L22" s="1"/>
      <c r="M22" s="1"/>
      <c r="N22" s="1"/>
    </row>
    <row r="23" spans="1:14">
      <c r="F23" s="97" t="s">
        <v>53</v>
      </c>
      <c r="G23" s="97"/>
      <c r="H23" s="97"/>
      <c r="I23" s="97"/>
      <c r="J23" s="97"/>
      <c r="K23" s="97"/>
      <c r="L23" s="97"/>
      <c r="M23" s="97"/>
      <c r="N23" s="97"/>
    </row>
    <row r="24" spans="1:14">
      <c r="F24" s="22" t="s">
        <v>32</v>
      </c>
      <c r="G24" s="22" t="s">
        <v>33</v>
      </c>
      <c r="H24" s="22" t="s">
        <v>34</v>
      </c>
      <c r="I24" s="22" t="s">
        <v>35</v>
      </c>
      <c r="J24" s="22" t="s">
        <v>36</v>
      </c>
      <c r="K24" s="22" t="s">
        <v>37</v>
      </c>
      <c r="L24" s="22" t="s">
        <v>18</v>
      </c>
      <c r="M24" s="22" t="s">
        <v>38</v>
      </c>
      <c r="N24" s="22" t="s">
        <v>39</v>
      </c>
    </row>
    <row r="25" spans="1:14">
      <c r="F25" s="2" t="s">
        <v>40</v>
      </c>
      <c r="G25" s="2">
        <f>SUM(I25:N25)</f>
        <v>16</v>
      </c>
      <c r="H25" s="2" t="s">
        <v>27</v>
      </c>
      <c r="I25" s="5">
        <f>$C$10</f>
        <v>5</v>
      </c>
      <c r="J25" s="2">
        <f>INT($B$3/2)</f>
        <v>6</v>
      </c>
      <c r="K25" s="20">
        <v>2</v>
      </c>
      <c r="L25" s="20">
        <v>0</v>
      </c>
      <c r="M25" s="20">
        <v>3</v>
      </c>
      <c r="N25" s="20">
        <v>0</v>
      </c>
    </row>
    <row r="26" spans="1:14">
      <c r="F26" s="98" t="s">
        <v>44</v>
      </c>
      <c r="G26" s="98"/>
      <c r="H26" s="98" t="s">
        <v>46</v>
      </c>
      <c r="I26" s="98"/>
      <c r="J26" s="22" t="s">
        <v>34</v>
      </c>
      <c r="K26" s="22" t="s">
        <v>35</v>
      </c>
      <c r="L26" s="22" t="s">
        <v>18</v>
      </c>
      <c r="M26" s="22" t="s">
        <v>38</v>
      </c>
      <c r="N26" s="22" t="s">
        <v>39</v>
      </c>
    </row>
    <row r="27" spans="1:14">
      <c r="F27" s="97" t="s">
        <v>45</v>
      </c>
      <c r="G27" s="97"/>
      <c r="H27" s="97">
        <f>SUM(K27:N27)</f>
        <v>10</v>
      </c>
      <c r="I27" s="97"/>
      <c r="J27" s="2" t="s">
        <v>27</v>
      </c>
      <c r="K27" s="53">
        <f>$C$10</f>
        <v>5</v>
      </c>
      <c r="L27" s="21">
        <v>0</v>
      </c>
      <c r="M27" s="21">
        <v>5</v>
      </c>
      <c r="N27" s="21">
        <v>0</v>
      </c>
    </row>
    <row r="28" spans="1:14">
      <c r="F28" s="98" t="s">
        <v>47</v>
      </c>
      <c r="G28" s="98"/>
      <c r="H28" s="98" t="s">
        <v>48</v>
      </c>
      <c r="I28" s="98"/>
      <c r="J28" s="98"/>
      <c r="K28" s="98"/>
      <c r="L28" s="98" t="s">
        <v>49</v>
      </c>
      <c r="M28" s="98"/>
      <c r="N28" s="98"/>
    </row>
    <row r="29" spans="1:14">
      <c r="F29" s="97" t="s">
        <v>74</v>
      </c>
      <c r="G29" s="97"/>
      <c r="H29" s="97" t="s">
        <v>56</v>
      </c>
      <c r="I29" s="97"/>
      <c r="J29" s="97"/>
      <c r="K29" s="97"/>
      <c r="L29" s="20">
        <v>3</v>
      </c>
      <c r="M29" s="5" t="s">
        <v>78</v>
      </c>
      <c r="N29" s="20">
        <v>10</v>
      </c>
    </row>
    <row r="31" spans="1:14">
      <c r="F31" s="3" t="s">
        <v>72</v>
      </c>
      <c r="G31" s="1"/>
      <c r="H31" s="1"/>
      <c r="I31" s="1"/>
      <c r="J31" s="1"/>
      <c r="K31" s="1"/>
      <c r="L31" s="1"/>
      <c r="M31" s="1"/>
      <c r="N31" s="1"/>
    </row>
    <row r="32" spans="1:14">
      <c r="F32" s="97" t="s">
        <v>73</v>
      </c>
      <c r="G32" s="97"/>
      <c r="H32" s="97"/>
      <c r="I32" s="97"/>
      <c r="J32" s="97"/>
      <c r="K32" s="97"/>
      <c r="L32" s="97"/>
      <c r="M32" s="97"/>
      <c r="N32" s="97"/>
    </row>
    <row r="33" spans="6:14">
      <c r="F33" s="22" t="s">
        <v>32</v>
      </c>
      <c r="G33" s="22" t="s">
        <v>33</v>
      </c>
      <c r="H33" s="22" t="s">
        <v>34</v>
      </c>
      <c r="I33" s="22" t="s">
        <v>35</v>
      </c>
      <c r="J33" s="22" t="s">
        <v>36</v>
      </c>
      <c r="K33" s="22" t="s">
        <v>37</v>
      </c>
      <c r="L33" s="22" t="s">
        <v>18</v>
      </c>
      <c r="M33" s="22" t="s">
        <v>38</v>
      </c>
      <c r="N33" s="22" t="s">
        <v>39</v>
      </c>
    </row>
    <row r="34" spans="6:14">
      <c r="F34" s="5" t="s">
        <v>40</v>
      </c>
      <c r="G34" s="5">
        <f>SUM(I34:N34)</f>
        <v>15</v>
      </c>
      <c r="H34" s="5" t="s">
        <v>25</v>
      </c>
      <c r="I34" s="5">
        <f>$C$8</f>
        <v>4</v>
      </c>
      <c r="J34" s="5">
        <f>INT($B$3/2)</f>
        <v>6</v>
      </c>
      <c r="K34" s="20">
        <v>2</v>
      </c>
      <c r="L34" s="20">
        <v>0</v>
      </c>
      <c r="M34" s="20">
        <v>3</v>
      </c>
      <c r="N34" s="20">
        <v>0</v>
      </c>
    </row>
    <row r="35" spans="6:14">
      <c r="F35" s="98" t="s">
        <v>7</v>
      </c>
      <c r="G35" s="98"/>
      <c r="H35" s="98" t="s">
        <v>46</v>
      </c>
      <c r="I35" s="98"/>
      <c r="J35" s="22" t="s">
        <v>34</v>
      </c>
      <c r="K35" s="22" t="s">
        <v>35</v>
      </c>
      <c r="L35" s="22" t="s">
        <v>18</v>
      </c>
      <c r="M35" s="22" t="s">
        <v>38</v>
      </c>
      <c r="N35" s="22" t="s">
        <v>39</v>
      </c>
    </row>
    <row r="36" spans="6:14">
      <c r="F36" s="97" t="s">
        <v>54</v>
      </c>
      <c r="G36" s="97"/>
      <c r="H36" s="97">
        <f>SUM(K36:N36)</f>
        <v>9</v>
      </c>
      <c r="I36" s="97"/>
      <c r="J36" s="5" t="s">
        <v>25</v>
      </c>
      <c r="K36" s="53">
        <f>$C$8</f>
        <v>4</v>
      </c>
      <c r="L36" s="20">
        <v>0</v>
      </c>
      <c r="M36" s="20">
        <v>5</v>
      </c>
      <c r="N36" s="20">
        <v>0</v>
      </c>
    </row>
    <row r="37" spans="6:14">
      <c r="F37" s="98" t="s">
        <v>47</v>
      </c>
      <c r="G37" s="98"/>
      <c r="H37" s="98" t="s">
        <v>48</v>
      </c>
      <c r="I37" s="98"/>
      <c r="J37" s="98"/>
      <c r="K37" s="98"/>
      <c r="L37" s="98" t="s">
        <v>6</v>
      </c>
      <c r="M37" s="98"/>
      <c r="N37" s="98"/>
    </row>
    <row r="38" spans="6:14">
      <c r="F38" s="97" t="s">
        <v>30</v>
      </c>
      <c r="G38" s="97"/>
      <c r="H38" s="97" t="s">
        <v>55</v>
      </c>
      <c r="I38" s="97"/>
      <c r="J38" s="97"/>
      <c r="K38" s="97"/>
      <c r="L38" s="20">
        <v>3</v>
      </c>
      <c r="M38" s="5" t="s">
        <v>78</v>
      </c>
      <c r="N38" s="20">
        <v>10</v>
      </c>
    </row>
  </sheetData>
  <mergeCells count="43">
    <mergeCell ref="B1:D1"/>
    <mergeCell ref="B2:D2"/>
    <mergeCell ref="B20:D20"/>
    <mergeCell ref="F37:G37"/>
    <mergeCell ref="H37:K37"/>
    <mergeCell ref="F29:G29"/>
    <mergeCell ref="H29:K29"/>
    <mergeCell ref="F23:N23"/>
    <mergeCell ref="F26:G26"/>
    <mergeCell ref="H26:I26"/>
    <mergeCell ref="F27:G27"/>
    <mergeCell ref="H27:I27"/>
    <mergeCell ref="F28:G28"/>
    <mergeCell ref="H28:K28"/>
    <mergeCell ref="L28:N28"/>
    <mergeCell ref="F20:G20"/>
    <mergeCell ref="L37:N37"/>
    <mergeCell ref="F38:G38"/>
    <mergeCell ref="H38:K38"/>
    <mergeCell ref="F32:N32"/>
    <mergeCell ref="F35:G35"/>
    <mergeCell ref="H35:I35"/>
    <mergeCell ref="F36:G36"/>
    <mergeCell ref="H36:I36"/>
    <mergeCell ref="H20:K20"/>
    <mergeCell ref="L10:N10"/>
    <mergeCell ref="F18:G18"/>
    <mergeCell ref="H18:I18"/>
    <mergeCell ref="F19:G19"/>
    <mergeCell ref="H19:K19"/>
    <mergeCell ref="L19:N19"/>
    <mergeCell ref="F5:N5"/>
    <mergeCell ref="F14:N14"/>
    <mergeCell ref="F17:G17"/>
    <mergeCell ref="H17:I17"/>
    <mergeCell ref="F8:G8"/>
    <mergeCell ref="F9:G9"/>
    <mergeCell ref="H8:I8"/>
    <mergeCell ref="H9:I9"/>
    <mergeCell ref="F10:G10"/>
    <mergeCell ref="F11:G11"/>
    <mergeCell ref="H10:K10"/>
    <mergeCell ref="H11:K11"/>
  </mergeCells>
  <phoneticPr fontId="1"/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50" t="s">
        <v>43</v>
      </c>
      <c r="B1" s="171">
        <v>1</v>
      </c>
      <c r="C1" s="172"/>
      <c r="D1" s="51" t="s">
        <v>61</v>
      </c>
      <c r="E1" s="52" t="s">
        <v>121</v>
      </c>
      <c r="F1" s="173"/>
      <c r="G1" s="174"/>
      <c r="H1" s="36" t="s">
        <v>96</v>
      </c>
    </row>
    <row r="2" spans="1:13" ht="24.75" customHeight="1">
      <c r="A2" s="51" t="s">
        <v>0</v>
      </c>
      <c r="B2" s="175" t="s">
        <v>176</v>
      </c>
      <c r="C2" s="175"/>
      <c r="D2" s="175"/>
      <c r="E2" s="175"/>
      <c r="F2" s="175"/>
      <c r="G2" s="175"/>
      <c r="H2" s="36" t="s">
        <v>98</v>
      </c>
    </row>
    <row r="3" spans="1:13" ht="19.5" customHeight="1">
      <c r="A3" s="63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115</v>
      </c>
      <c r="C4" s="136"/>
      <c r="D4" s="136"/>
      <c r="E4" s="136"/>
      <c r="F4" s="136"/>
      <c r="G4" s="137"/>
      <c r="H4" s="60" t="s">
        <v>80</v>
      </c>
      <c r="I4" s="61">
        <v>1</v>
      </c>
    </row>
    <row r="5" spans="1:13">
      <c r="A5" s="39" t="s">
        <v>58</v>
      </c>
      <c r="B5" s="135" t="s">
        <v>122</v>
      </c>
      <c r="C5" s="136"/>
      <c r="D5" s="136"/>
      <c r="E5" s="136"/>
      <c r="F5" s="136"/>
      <c r="G5" s="137"/>
      <c r="H5" s="60" t="s">
        <v>81</v>
      </c>
      <c r="I5" s="61">
        <v>1</v>
      </c>
    </row>
    <row r="6" spans="1:13">
      <c r="A6" s="39" t="s">
        <v>11</v>
      </c>
      <c r="B6" s="135" t="s">
        <v>9</v>
      </c>
      <c r="C6" s="136"/>
      <c r="D6" s="137"/>
      <c r="E6" s="60" t="s">
        <v>75</v>
      </c>
      <c r="F6" s="59" t="str">
        <f>$I$8</f>
        <v>遠隔</v>
      </c>
      <c r="G6" s="59">
        <f>$J$8</f>
        <v>10</v>
      </c>
      <c r="H6" s="60" t="s">
        <v>153</v>
      </c>
      <c r="I6" s="61">
        <v>0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60" t="s">
        <v>154</v>
      </c>
      <c r="I7" s="61">
        <v>0</v>
      </c>
    </row>
    <row r="8" spans="1:13">
      <c r="A8" s="40" t="s">
        <v>14</v>
      </c>
      <c r="B8" s="135" t="s">
        <v>123</v>
      </c>
      <c r="C8" s="136"/>
      <c r="D8" s="136"/>
      <c r="E8" s="136"/>
      <c r="F8" s="136"/>
      <c r="G8" s="137"/>
      <c r="H8" s="60" t="s">
        <v>75</v>
      </c>
      <c r="I8" s="61" t="s">
        <v>76</v>
      </c>
      <c r="J8" s="61">
        <v>10</v>
      </c>
    </row>
    <row r="9" spans="1:13">
      <c r="A9" s="42" t="s">
        <v>16</v>
      </c>
      <c r="B9" s="138" t="s">
        <v>124</v>
      </c>
      <c r="C9" s="139"/>
      <c r="D9" s="139"/>
      <c r="E9" s="139"/>
      <c r="F9" s="139"/>
      <c r="G9" s="140"/>
      <c r="H9" s="62"/>
      <c r="I9" s="36" t="s">
        <v>97</v>
      </c>
      <c r="K9" s="36" t="s">
        <v>186</v>
      </c>
    </row>
    <row r="10" spans="1:13">
      <c r="A10" s="41"/>
      <c r="B10" s="170" t="s">
        <v>125</v>
      </c>
      <c r="C10" s="101"/>
      <c r="D10" s="101"/>
      <c r="E10" s="101"/>
      <c r="F10" s="101"/>
      <c r="G10" s="102"/>
      <c r="H10" s="60" t="s">
        <v>92</v>
      </c>
      <c r="I10" s="61" t="s">
        <v>27</v>
      </c>
      <c r="J10" s="61" t="s">
        <v>31</v>
      </c>
      <c r="K10" s="73">
        <f>IF($I$10="知力",基本!$K$36,基本!$K$18)</f>
        <v>5</v>
      </c>
      <c r="L10" s="60" t="s">
        <v>94</v>
      </c>
      <c r="M10" s="59">
        <f>IF($I$10="知力",基本!$G$34,基本!$G$16)</f>
        <v>16</v>
      </c>
    </row>
    <row r="11" spans="1:13">
      <c r="A11" s="41"/>
      <c r="B11" s="100" t="s">
        <v>126</v>
      </c>
      <c r="C11" s="101"/>
      <c r="D11" s="101"/>
      <c r="E11" s="101"/>
      <c r="F11" s="101"/>
      <c r="G11" s="102"/>
      <c r="H11" s="133" t="s">
        <v>93</v>
      </c>
      <c r="I11" s="61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127</v>
      </c>
      <c r="C12" s="101"/>
      <c r="D12" s="101"/>
      <c r="E12" s="101"/>
      <c r="F12" s="101"/>
      <c r="G12" s="102"/>
      <c r="H12" s="134"/>
      <c r="I12" s="61">
        <v>0</v>
      </c>
      <c r="J12" s="60" t="s">
        <v>77</v>
      </c>
      <c r="K12" s="61">
        <v>0</v>
      </c>
      <c r="L12" s="60" t="s">
        <v>95</v>
      </c>
      <c r="M12" s="59">
        <f>IF($I$11="知力",基本!$H$36,基本!$H$18)</f>
        <v>10</v>
      </c>
    </row>
    <row r="13" spans="1:13">
      <c r="A13" s="41"/>
      <c r="B13" s="100"/>
      <c r="C13" s="101"/>
      <c r="D13" s="101"/>
      <c r="E13" s="101"/>
      <c r="F13" s="101"/>
      <c r="G13" s="102"/>
      <c r="H13" s="60" t="s">
        <v>91</v>
      </c>
      <c r="I13" s="59">
        <f>IF($I$11="知力",基本!$L$38,基本!$L$20)</f>
        <v>3</v>
      </c>
      <c r="J13" s="60" t="s">
        <v>77</v>
      </c>
      <c r="K13" s="59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60" t="s">
        <v>79</v>
      </c>
      <c r="I14" s="59">
        <f>基本!$B$21</f>
        <v>2</v>
      </c>
      <c r="J14" s="60" t="s">
        <v>77</v>
      </c>
      <c r="K14" s="59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60" t="s">
        <v>155</v>
      </c>
      <c r="I15" s="28" t="s">
        <v>156</v>
      </c>
    </row>
    <row r="16" spans="1:13" ht="14.25" thickBot="1">
      <c r="A16" s="35" t="s">
        <v>86</v>
      </c>
      <c r="E16" s="4"/>
    </row>
    <row r="17" spans="1:11" ht="18.75" customHeight="1" thickBot="1">
      <c r="A17" s="164" t="str">
        <f>$B$2</f>
        <v>クラウン・オヴ・スターズ（維持攻撃分）</v>
      </c>
      <c r="B17" s="165"/>
      <c r="C17" s="166"/>
      <c r="D17" s="7" t="s">
        <v>4</v>
      </c>
      <c r="E17" s="67" t="s">
        <v>3</v>
      </c>
      <c r="J17"/>
      <c r="K17"/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 ※</v>
      </c>
      <c r="E18" s="68" t="str">
        <f>$M$10+2+$I$6 &amp; "+1d20" &amp; IF($I$4=1," ※","")</f>
        <v>18+1d20 ※</v>
      </c>
      <c r="J18"/>
      <c r="K18"/>
    </row>
    <row r="19" spans="1:11" ht="24.75" customHeight="1">
      <c r="A19" s="116"/>
      <c r="B19" s="118" t="s">
        <v>7</v>
      </c>
      <c r="C19" s="10" t="s">
        <v>4</v>
      </c>
      <c r="D19" s="11">
        <f>$K$11+$I$7</f>
        <v>5</v>
      </c>
      <c r="E19" s="69">
        <f>$K$11+$I$7</f>
        <v>5</v>
      </c>
      <c r="J19"/>
      <c r="K19"/>
    </row>
    <row r="20" spans="1:11" ht="24.75" customHeight="1">
      <c r="A20" s="116"/>
      <c r="B20" s="119"/>
      <c r="C20" s="19" t="s">
        <v>2</v>
      </c>
      <c r="D20" s="16" t="str">
        <f>$K$11+$I$7 &amp; "+" &amp; $I$14 &amp; "d"&amp; $K$14</f>
        <v>5+2d8</v>
      </c>
      <c r="E20" s="70" t="str">
        <f>$K$11+$I$7 &amp; "+" &amp; $I$14 &amp; "d"&amp; $K$14</f>
        <v>5+2d8</v>
      </c>
      <c r="G20"/>
      <c r="H20"/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$K$11+$I$7  &amp; "+" &amp; $I$13 &amp; "d" &amp; $K$13</f>
        <v>5+3d10</v>
      </c>
      <c r="E21" s="71" t="str">
        <f>$K$11+$I$7  &amp; "+" &amp; $I$13 &amp; "d" &amp; $K$13</f>
        <v>5+3d10</v>
      </c>
      <c r="G21"/>
      <c r="H21"/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$K$11+$I$7+($I$14*$K$14) &amp; "+" &amp; $I$13 &amp; "d" &amp; $K$13</f>
        <v>21+3d10</v>
      </c>
      <c r="E22" s="15" t="str">
        <f>$K$11+$I$7+($I$14*$K$14) &amp; "+" &amp; $I$13 &amp; "d" &amp; $K$13</f>
        <v>21+3d10</v>
      </c>
      <c r="G22"/>
      <c r="H22"/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 ※</v>
      </c>
      <c r="E23" s="68" t="str">
        <f>$M$10+$I$6+3 &amp; "+1d20" &amp; IF($I$4=1," ※","")</f>
        <v>19+1d20 ※</v>
      </c>
      <c r="G23"/>
      <c r="H23"/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>
        <f>$K$11+$I$7+5</f>
        <v>10</v>
      </c>
      <c r="E24" s="69">
        <f>$K$11+$I$7+5</f>
        <v>10</v>
      </c>
      <c r="G24"/>
      <c r="H24"/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$K$11+$I$7+5 &amp; "+" &amp; $I$14 &amp; "d"&amp; $K$14</f>
        <v>10+2d8</v>
      </c>
      <c r="E25" s="70" t="str">
        <f>$K$11+$I$7+5 &amp; "+" &amp; $I$14 &amp; "d"&amp; $K$14</f>
        <v>10+2d8</v>
      </c>
      <c r="G25"/>
      <c r="H25"/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$K$11+$I$7+5  &amp; "+" &amp; $I$13 &amp; "d" &amp; $K$13</f>
        <v>10+3d10</v>
      </c>
      <c r="E26" s="71" t="str">
        <f>$K$11+$I$7+5  &amp; "+" &amp; $I$13 &amp; "d" &amp; $K$13</f>
        <v>10+3d10</v>
      </c>
      <c r="G26"/>
      <c r="H26"/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$K$11+$I$7+($I$14*$K$14)+5 &amp; "+" &amp; $I$13 &amp; "d" &amp; $K$13</f>
        <v>26+3d10</v>
      </c>
      <c r="E27" s="15" t="str">
        <f>$K$11+$I$7+($I$14*$K$14)+5 &amp; "+" &amp; $I$13 &amp; "d" &amp; $K$13</f>
        <v>26+3d10</v>
      </c>
      <c r="F27" s="66"/>
      <c r="G27" s="65"/>
      <c r="H27"/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76"/>
      <c r="G28" s="176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/>
      <c r="B30" s="106"/>
      <c r="C30" s="106"/>
      <c r="D30" s="106"/>
      <c r="E30" s="106"/>
      <c r="F30" s="106"/>
      <c r="G30" s="106"/>
      <c r="I30"/>
      <c r="J30"/>
      <c r="K30"/>
    </row>
    <row r="31" spans="1:11">
      <c r="A31" s="107"/>
      <c r="B31" s="107"/>
      <c r="C31" s="107"/>
      <c r="D31" s="107"/>
      <c r="E31" s="107"/>
      <c r="F31" s="107"/>
      <c r="G31" s="107"/>
    </row>
    <row r="32" spans="1:11">
      <c r="A32" s="104"/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226</v>
      </c>
      <c r="B35" s="101"/>
      <c r="C35" s="101"/>
      <c r="D35" s="101"/>
      <c r="E35" s="101"/>
      <c r="F35" s="101"/>
      <c r="G35" s="102"/>
    </row>
    <row r="36" spans="1:7">
      <c r="A36" s="100" t="s">
        <v>227</v>
      </c>
      <c r="B36" s="101"/>
      <c r="C36" s="101"/>
      <c r="D36" s="101"/>
      <c r="E36" s="101"/>
      <c r="F36" s="101"/>
      <c r="G36" s="102"/>
    </row>
    <row r="37" spans="1:7">
      <c r="A37" s="100" t="s">
        <v>228</v>
      </c>
      <c r="B37" s="101"/>
      <c r="C37" s="101"/>
      <c r="D37" s="101"/>
      <c r="E37" s="101"/>
      <c r="F37" s="101"/>
      <c r="G37" s="102"/>
    </row>
    <row r="38" spans="1:7">
      <c r="A38" s="100"/>
      <c r="B38" s="101"/>
      <c r="C38" s="101"/>
      <c r="D38" s="101"/>
      <c r="E38" s="101"/>
      <c r="F38" s="101"/>
      <c r="G38" s="102"/>
    </row>
    <row r="39" spans="1:7">
      <c r="A39" s="100" t="s">
        <v>184</v>
      </c>
      <c r="B39" s="101"/>
      <c r="C39" s="101"/>
      <c r="D39" s="101"/>
      <c r="E39" s="101"/>
      <c r="F39" s="101"/>
      <c r="G39" s="102"/>
    </row>
    <row r="40" spans="1:7">
      <c r="A40" s="100"/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229</v>
      </c>
      <c r="B43" s="104"/>
      <c r="C43" s="104"/>
      <c r="D43" s="104"/>
      <c r="E43" s="104"/>
      <c r="F43" s="104"/>
      <c r="G43" s="105"/>
    </row>
    <row r="44" spans="1:7" ht="21">
      <c r="A44" s="83" t="s">
        <v>43</v>
      </c>
      <c r="B44" s="84">
        <f>$B$1</f>
        <v>1</v>
      </c>
      <c r="C44" s="85" t="s">
        <v>61</v>
      </c>
      <c r="D44" s="86" t="str">
        <f>$E$1</f>
        <v>一日毎</v>
      </c>
      <c r="E44" s="167" t="str">
        <f>$B$2</f>
        <v>クラウン・オヴ・スターズ（維持攻撃分）</v>
      </c>
      <c r="F44" s="168"/>
      <c r="G44" s="169"/>
    </row>
  </sheetData>
  <mergeCells count="40">
    <mergeCell ref="E44:G44"/>
    <mergeCell ref="H11:H12"/>
    <mergeCell ref="B12:G12"/>
    <mergeCell ref="B1:C1"/>
    <mergeCell ref="F1:G1"/>
    <mergeCell ref="B2:G2"/>
    <mergeCell ref="B4:G4"/>
    <mergeCell ref="B5:G5"/>
    <mergeCell ref="B6:D6"/>
    <mergeCell ref="B7:G7"/>
    <mergeCell ref="B8:G8"/>
    <mergeCell ref="B9:G9"/>
    <mergeCell ref="B10:G10"/>
    <mergeCell ref="B11:G11"/>
    <mergeCell ref="B13:G13"/>
    <mergeCell ref="B14:G14"/>
    <mergeCell ref="B15:G15"/>
    <mergeCell ref="A17:C17"/>
    <mergeCell ref="A18:A22"/>
    <mergeCell ref="B19:B20"/>
    <mergeCell ref="B21:B22"/>
    <mergeCell ref="A36:G36"/>
    <mergeCell ref="A23:A27"/>
    <mergeCell ref="B24:B25"/>
    <mergeCell ref="B26:B27"/>
    <mergeCell ref="A28:G28"/>
    <mergeCell ref="A29:G29"/>
    <mergeCell ref="A30:G30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5" priority="3" operator="lessThan">
      <formula>9</formula>
    </cfRule>
  </conditionalFormatting>
  <conditionalFormatting sqref="F6">
    <cfRule type="cellIs" dxfId="4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M44"/>
  <sheetViews>
    <sheetView workbookViewId="0">
      <selection activeCell="B11" sqref="B11:G11"/>
    </sheetView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50" t="s">
        <v>43</v>
      </c>
      <c r="B1" s="171">
        <v>5</v>
      </c>
      <c r="C1" s="172"/>
      <c r="D1" s="51" t="s">
        <v>61</v>
      </c>
      <c r="E1" s="52" t="s">
        <v>121</v>
      </c>
      <c r="F1" s="173"/>
      <c r="G1" s="174"/>
      <c r="H1" s="36" t="s">
        <v>96</v>
      </c>
    </row>
    <row r="2" spans="1:13" ht="24.75" customHeight="1">
      <c r="A2" s="51" t="s">
        <v>0</v>
      </c>
      <c r="B2" s="175" t="s">
        <v>73</v>
      </c>
      <c r="C2" s="175"/>
      <c r="D2" s="175"/>
      <c r="E2" s="175"/>
      <c r="F2" s="175"/>
      <c r="G2" s="175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128</v>
      </c>
      <c r="C4" s="136"/>
      <c r="D4" s="136"/>
      <c r="E4" s="136"/>
      <c r="F4" s="136"/>
      <c r="G4" s="137"/>
      <c r="H4" s="23" t="s">
        <v>80</v>
      </c>
      <c r="I4" s="26">
        <v>1</v>
      </c>
    </row>
    <row r="5" spans="1:13">
      <c r="A5" s="39" t="s">
        <v>58</v>
      </c>
      <c r="B5" s="135" t="s">
        <v>129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10</v>
      </c>
      <c r="H6" s="58" t="s">
        <v>153</v>
      </c>
      <c r="I6" s="57">
        <v>2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130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10</v>
      </c>
    </row>
    <row r="9" spans="1:13">
      <c r="A9" s="40" t="s">
        <v>16</v>
      </c>
      <c r="B9" s="135" t="s">
        <v>131</v>
      </c>
      <c r="C9" s="136"/>
      <c r="D9" s="136"/>
      <c r="E9" s="136"/>
      <c r="F9" s="136"/>
      <c r="G9" s="137"/>
      <c r="H9" s="3"/>
      <c r="I9" s="36" t="s">
        <v>97</v>
      </c>
      <c r="K9" s="36" t="s">
        <v>186</v>
      </c>
    </row>
    <row r="10" spans="1:13">
      <c r="A10" s="41" t="s">
        <v>161</v>
      </c>
      <c r="B10" s="170" t="s">
        <v>132</v>
      </c>
      <c r="C10" s="101"/>
      <c r="D10" s="101"/>
      <c r="E10" s="101"/>
      <c r="F10" s="101"/>
      <c r="G10" s="102"/>
      <c r="H10" s="23" t="s">
        <v>92</v>
      </c>
      <c r="I10" s="26" t="s">
        <v>25</v>
      </c>
      <c r="J10" s="26" t="s">
        <v>31</v>
      </c>
      <c r="K10" s="73">
        <f>IF($I$10="知力",基本!$K$36,基本!$K$18)</f>
        <v>4</v>
      </c>
      <c r="L10" s="23" t="s">
        <v>94</v>
      </c>
      <c r="M10" s="6">
        <f>IF($I$10="知力",基本!$G$34,基本!$G$16)</f>
        <v>15</v>
      </c>
    </row>
    <row r="11" spans="1:13" ht="17.25">
      <c r="A11" s="41"/>
      <c r="B11" s="100" t="s">
        <v>177</v>
      </c>
      <c r="C11" s="101"/>
      <c r="D11" s="101"/>
      <c r="E11" s="101"/>
      <c r="F11" s="101"/>
      <c r="G11" s="102"/>
      <c r="H11" s="133" t="s">
        <v>93</v>
      </c>
      <c r="I11" s="26" t="s">
        <v>25</v>
      </c>
      <c r="K11" s="73">
        <f>IF($I$11="知力",基本!$K$36,基本!$K$18)</f>
        <v>4</v>
      </c>
      <c r="L11" s="1"/>
    </row>
    <row r="12" spans="1:13">
      <c r="A12" s="41"/>
      <c r="B12" s="100" t="s">
        <v>178</v>
      </c>
      <c r="C12" s="101"/>
      <c r="D12" s="101"/>
      <c r="E12" s="101"/>
      <c r="F12" s="101"/>
      <c r="G12" s="102"/>
      <c r="H12" s="134"/>
      <c r="I12" s="26">
        <v>3</v>
      </c>
      <c r="J12" s="23" t="s">
        <v>77</v>
      </c>
      <c r="K12" s="26">
        <v>10</v>
      </c>
      <c r="L12" s="23" t="s">
        <v>95</v>
      </c>
      <c r="M12" s="6">
        <f>IF($I$11="知力",基本!$H$36,基本!$H$18)</f>
        <v>9</v>
      </c>
    </row>
    <row r="13" spans="1:13">
      <c r="A13" s="41"/>
      <c r="B13" s="100" t="s">
        <v>179</v>
      </c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2" t="s">
        <v>133</v>
      </c>
      <c r="B14" s="138" t="s">
        <v>189</v>
      </c>
      <c r="C14" s="139"/>
      <c r="D14" s="139"/>
      <c r="E14" s="139"/>
      <c r="F14" s="139"/>
      <c r="G14" s="140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 t="s">
        <v>134</v>
      </c>
      <c r="C15" s="104"/>
      <c r="D15" s="104"/>
      <c r="E15" s="104"/>
      <c r="F15" s="104"/>
      <c r="G15" s="105"/>
      <c r="H15" s="58" t="s">
        <v>155</v>
      </c>
      <c r="I15" s="28"/>
    </row>
    <row r="16" spans="1:13" ht="14.25" thickBot="1">
      <c r="A16" s="35" t="s">
        <v>86</v>
      </c>
      <c r="E16" s="4"/>
      <c r="H16" s="36" t="s">
        <v>162</v>
      </c>
    </row>
    <row r="17" spans="1:11" ht="18.75" customHeight="1" thickBot="1">
      <c r="A17" s="164" t="str">
        <f>$B$2</f>
        <v>フューリィ・オヴ・ギベス</v>
      </c>
      <c r="B17" s="165"/>
      <c r="C17" s="166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17+1d20 ※</v>
      </c>
      <c r="E18" s="9" t="str">
        <f>$M$10+2+$I$6 &amp; "+1d20" &amp; IF($I$4=1," ※","")</f>
        <v>19+1d20 ※</v>
      </c>
      <c r="F18" s="9" t="str">
        <f>$M$10+$I$6+3 &amp; "+1d20" &amp; " ※"</f>
        <v>20+1d20 ※</v>
      </c>
      <c r="G18" s="68" t="str">
        <f>$M$10+$I$6+5 &amp; "+1d20" &amp; " ※"</f>
        <v>22+1d20 ※</v>
      </c>
    </row>
    <row r="19" spans="1:11" ht="24.75" customHeight="1">
      <c r="A19" s="116"/>
      <c r="B19" s="118" t="s">
        <v>7</v>
      </c>
      <c r="C19" s="10" t="s">
        <v>133</v>
      </c>
      <c r="D19" s="11" t="str">
        <f>"("&amp;$M$12+IF($I$15="光輝",3,0)+$I$7&amp;"+"&amp;$I$12&amp;"d"&amp;$K$12 &amp; ")/2"</f>
        <v>(9+3d10)/2</v>
      </c>
      <c r="E19" s="11" t="str">
        <f>"("&amp;$M$12+IF($I$15="光輝",3,0)+$I$7&amp;"+"&amp;$I$12&amp;"d"&amp;$K$12 &amp; ")/2"</f>
        <v>(9+3d10)/2</v>
      </c>
      <c r="F19" s="11" t="str">
        <f>"("&amp;$M$12+IF($I$15="光輝",3,0)+$I$7&amp;"+"&amp;$I$12&amp;"d"&amp;$K$12 &amp; ")/2" &amp; IF($I$5=1," ★","")</f>
        <v>(9+3d10)/2 ★</v>
      </c>
      <c r="G19" s="69" t="str">
        <f>"("&amp;$M$12+IF($I$15="光輝",3,0)+$I$7&amp;"+"&amp;$I$12&amp;"d"&amp;$K$12 &amp; ")/2" &amp; $K$12 &amp; IF($I$5=1," ★","")</f>
        <v>(9+3d10)/210 ★</v>
      </c>
      <c r="J19" s="80" t="s">
        <v>188</v>
      </c>
    </row>
    <row r="20" spans="1:11" ht="24.75" customHeight="1">
      <c r="A20" s="116"/>
      <c r="B20" s="177"/>
      <c r="C20" s="10" t="s">
        <v>4</v>
      </c>
      <c r="D20" s="11" t="str">
        <f>$M$12+IF($I$16="光輝",3,0)+$I$7&amp;"+"&amp;$I$12&amp;"d"&amp;$K$12</f>
        <v>9+3d10</v>
      </c>
      <c r="E20" s="11" t="str">
        <f>$M$12+IF($I$16="光輝",3,0)+$I$7 &amp; "+" &amp; $I$12 &amp; "d" &amp; $K$12</f>
        <v>9+3d10</v>
      </c>
      <c r="F20" s="11" t="str">
        <f>$M$12+IF($I$16="光輝",3,0)+$I$7&amp;"+"&amp;$I$12&amp;"d"&amp;$K$12 &amp; IF($I$5=1," ★","")</f>
        <v>9+3d10 ★</v>
      </c>
      <c r="G20" s="69" t="str">
        <f>$M$12+IF($I$16="光輝",3,0)+$I$7 &amp; "+" &amp; $I$12 &amp; "d" &amp; $K$12 &amp; IF($I$5=1," ★","")</f>
        <v>9+3d10 ★</v>
      </c>
      <c r="J20" s="80" t="s">
        <v>188</v>
      </c>
    </row>
    <row r="21" spans="1:11" ht="24.75" customHeight="1">
      <c r="A21" s="116"/>
      <c r="B21" s="119"/>
      <c r="C21" s="19" t="s">
        <v>2</v>
      </c>
      <c r="D21" s="16" t="str">
        <f>$M$12+IF($I$15="光輝",3,0)+$I$7 &amp; "+" &amp; $I$12 &amp; "d" &amp; $K$12 &amp; "+" &amp; $I$14 &amp; "d"&amp; $K$14</f>
        <v>9+3d10+2d8</v>
      </c>
      <c r="E21" s="16" t="str">
        <f>$M$12+IF($I$15="光輝",3,0)+$I$7 &amp; "+" &amp; $I$12 &amp; "d" &amp; $K$12 &amp; "+" &amp; $I$14 &amp; "d"&amp; $K$14</f>
        <v>9+3d10+2d8</v>
      </c>
      <c r="F21" s="16" t="str">
        <f>$M$12+IF($I$15="光輝",3,0)+$I$7 &amp; "+" &amp; $I$12 &amp; "d" &amp; $K$12 &amp; "+" &amp; $I$14 &amp; "d"&amp; $K$14 &amp; IF($I$5=1," ★","")</f>
        <v>9+3d10+2d8 ★</v>
      </c>
      <c r="G21" s="70" t="str">
        <f>$M$12+IF($I$15="光輝",3,0)+$I$7 &amp; "+" &amp; $I$12 &amp; "d" &amp; $K$12 &amp; "+" &amp; $I$14 &amp; "d"&amp; $K$14 &amp; IF($I$5=1," ★","")</f>
        <v>9+3d10+2d8 ★</v>
      </c>
      <c r="I21"/>
      <c r="J21"/>
      <c r="K21"/>
    </row>
    <row r="22" spans="1:11" ht="24.75" customHeight="1">
      <c r="A22" s="116"/>
      <c r="B22" s="120" t="s">
        <v>6</v>
      </c>
      <c r="C22" s="13" t="s">
        <v>4</v>
      </c>
      <c r="D22" s="14" t="str">
        <f>($I$12*$K$12)+$M$12+IF($I$15="光輝",3,0)+$I$7 &amp; "+" &amp; $I$13 &amp; "d" &amp; $K$13</f>
        <v>39+3d10</v>
      </c>
      <c r="E22" s="14" t="str">
        <f>($I$12*$K$12)+$M$12+IF($I$15="光輝",3,0)+$I$7 &amp; "+" &amp; $I$13 &amp; "d" &amp; $K$13</f>
        <v>39+3d10</v>
      </c>
      <c r="F22" s="14" t="str">
        <f>($I$12*$K$12)+$M$12+IF($I$15="光輝",3,0)+$I$7 &amp; "+" &amp; $I$13 &amp; "d" &amp; $K$13 &amp; IF($I$5=1," ★","")</f>
        <v>39+3d10 ★</v>
      </c>
      <c r="G22" s="71" t="str">
        <f>($I$12*$K$12)+$M$12+IF($I$15="光輝",3,0)+$I$7 &amp; "+" &amp; $I$13 &amp; "d" &amp; $K$13 &amp; IF($I$5=1," ★","")</f>
        <v>39+3d10 ★</v>
      </c>
      <c r="I22"/>
      <c r="J22"/>
      <c r="K22"/>
    </row>
    <row r="23" spans="1:11" ht="24.75" customHeight="1" thickBot="1">
      <c r="A23" s="117"/>
      <c r="B23" s="121"/>
      <c r="C23" s="18" t="s">
        <v>2</v>
      </c>
      <c r="D23" s="15" t="str">
        <f>($I$12*$K$12)+$M$12+IF($I$15="光輝",3,0)+$I$7 + ($I$14*$K$14) &amp; "+" &amp; $I$13 &amp; "d" &amp; $K$13</f>
        <v>55+3d10</v>
      </c>
      <c r="E23" s="15" t="str">
        <f>($I$12*$K$12)+$M$12+IF($I$15="光輝",3,0)+$I$7 + ($I$14*$K$14) &amp; "+" &amp; $I$13 &amp; "d" &amp; $K$13</f>
        <v>55+3d10</v>
      </c>
      <c r="F23" s="15" t="str">
        <f>($I$12*$K$12)+$M$12+IF($I$15="光輝",3,0)+$I$7 + ($I$14*$K$14) &amp; "+" &amp; $I$13 &amp; "d" &amp; $K$13 &amp; IF($I$5=1," ★","")</f>
        <v>55+3d10 ★</v>
      </c>
      <c r="G23" s="72" t="str">
        <f>($I$12*$K$12)+$M$12+IF($I$15="光輝",3,0)+$I$7 + ($I$14*$K$14) &amp; "+" &amp; $I$13 &amp; "d" &amp; $K$13 &amp; IF($I$5=1," ★","")</f>
        <v>55+3d10 ★</v>
      </c>
      <c r="I23"/>
      <c r="J23"/>
      <c r="K23"/>
    </row>
    <row r="24" spans="1:11" ht="38.25" customHeight="1">
      <c r="A24" s="122" t="s">
        <v>5</v>
      </c>
      <c r="B24" s="8" t="s">
        <v>69</v>
      </c>
      <c r="C24" s="37" t="str">
        <f>$J$10</f>
        <v>意志</v>
      </c>
      <c r="D24" s="9" t="str">
        <f>$M$10+$I$6+1 &amp; "+1d20" &amp; IF($I$4=1," ※","")</f>
        <v>18+1d20 ※</v>
      </c>
      <c r="E24" s="9" t="str">
        <f>$M$10+$I$6+3 &amp; "+1d20" &amp; IF($I$4=1," ※","")</f>
        <v>20+1d20 ※</v>
      </c>
      <c r="F24" s="9" t="str">
        <f>$M$10+$I$6+4 &amp; "+1d20" &amp; " ※"</f>
        <v>21+1d20 ※</v>
      </c>
      <c r="G24" s="68" t="str">
        <f>$M$10+$I$6+5+1 &amp; "+1d20" &amp; " ※"</f>
        <v>23+1d20 ※</v>
      </c>
      <c r="I24"/>
      <c r="J24"/>
      <c r="K24"/>
    </row>
    <row r="25" spans="1:11" ht="24.75" customHeight="1">
      <c r="A25" s="178"/>
      <c r="B25" s="179" t="s">
        <v>7</v>
      </c>
      <c r="C25" s="12" t="s">
        <v>133</v>
      </c>
      <c r="D25" s="81" t="str">
        <f>"("&amp;$M$12+IF($I$15="光輝",3,0)+$I$7&amp;"+"&amp;$I$12&amp;"d"&amp;$K$12 &amp; ")/2"</f>
        <v>(9+3d10)/2</v>
      </c>
      <c r="E25" s="81" t="str">
        <f>"("&amp;$M$12+IF($I$15="光輝",3,0)+$I$7&amp;"+"&amp;$I$12&amp;"d"&amp;$K$12 &amp; ")/2"</f>
        <v>(9+3d10)/2</v>
      </c>
      <c r="F25" s="81" t="str">
        <f>"("&amp;$M$12+IF($I$15="光輝",3,0)+$I$7 &amp;"+"&amp;$I$12&amp;"d"&amp;$K$12 &amp; ")/2" &amp; IF($I$5=1," ★","")</f>
        <v>(9+3d10)/2 ★</v>
      </c>
      <c r="G25" s="82" t="str">
        <f>"("&amp;$M$12+IF($I$15="光輝",3,0)+$I$7&amp;"+"&amp;$I$12&amp;"d"&amp;$K$12 &amp; ")/2" &amp; $K$12 &amp; IF($I$5=1," ★","")</f>
        <v>(9+3d10)/210 ★</v>
      </c>
      <c r="J25" s="80" t="s">
        <v>188</v>
      </c>
    </row>
    <row r="26" spans="1:11" ht="24" customHeight="1">
      <c r="A26" s="123"/>
      <c r="B26" s="177"/>
      <c r="C26" s="12" t="s">
        <v>4</v>
      </c>
      <c r="D26" s="81" t="str">
        <f>$M$12+IF($I$15="光輝",3,0)+$I$7+5 &amp; "+" &amp; $I$12 &amp; $J$12 &amp; $K$12</f>
        <v>14+3d10</v>
      </c>
      <c r="E26" s="81" t="str">
        <f>$M$12+IF($I$15="光輝",3,0)+$I$7+5 &amp; "+" &amp; $I$12 &amp; $J$12 &amp; $K$12</f>
        <v>14+3d10</v>
      </c>
      <c r="F26" s="81" t="str">
        <f>$M$12+IF($I$15="光輝",3,0)+$I$7+5 &amp; "+" &amp; $I$12 &amp; $J$12 &amp; $K$12 &amp; IF($I$5=1," ★","")</f>
        <v>14+3d10 ★</v>
      </c>
      <c r="G26" s="82" t="str">
        <f>$M$12+IF($I$15="光輝",3,0)+$I$7+5 &amp; "+" &amp; $I$12 &amp; $J$12 &amp; $K$12 &amp; IF($I$5=1," ★","")</f>
        <v>14+3d10 ★</v>
      </c>
      <c r="I26"/>
      <c r="J26"/>
      <c r="K26"/>
    </row>
    <row r="27" spans="1:11" ht="24" customHeight="1">
      <c r="A27" s="123"/>
      <c r="B27" s="180"/>
      <c r="C27" s="19" t="s">
        <v>2</v>
      </c>
      <c r="D27" s="16" t="str">
        <f>$M$12+IF($I$15="光輝",3,0)+$I$7+5 &amp; "+" &amp; $I$12 &amp; "d" &amp; $K$12 &amp; "+" &amp; $I$14 &amp; "d"&amp; $K$14</f>
        <v>14+3d10+2d8</v>
      </c>
      <c r="E27" s="16" t="str">
        <f>$M$12+IF($I$15="光輝",3,0)+$I$7+5 &amp; "+" &amp; $I$12 &amp; "d" &amp; $K$12 &amp; "+" &amp; $I$14 &amp; "d"&amp; $K$14</f>
        <v>14+3d10+2d8</v>
      </c>
      <c r="F27" s="16" t="str">
        <f>$M$12+IF($I$15="光輝",3,0)+$I$7+5 &amp; "+" &amp; $I$12 &amp; "d" &amp; $K$12 &amp; "+" &amp; $I$14 &amp; "d"&amp; $K$14 &amp; IF($I$5=1," ★","")</f>
        <v>14+3d10+2d8 ★</v>
      </c>
      <c r="G27" s="70" t="str">
        <f>$M$12+IF($I$15="光輝",3,0)+$I$7+5 &amp; "+" &amp; $I$12 &amp; "d" &amp; $K$12 &amp; "+" &amp; $I$14 &amp; "d"&amp; $K$14 &amp; IF($I$5=1," ★","")</f>
        <v>14+3d10+2d8 ★</v>
      </c>
      <c r="I27"/>
      <c r="J27"/>
      <c r="K27"/>
    </row>
    <row r="28" spans="1:11" ht="24" customHeight="1">
      <c r="A28" s="123"/>
      <c r="B28" s="120" t="s">
        <v>6</v>
      </c>
      <c r="C28" s="13" t="s">
        <v>4</v>
      </c>
      <c r="D28" s="14" t="str">
        <f>($I$12*$K$12)+5+$M$12+IF($I15="光輝",3,0)+$I$7 &amp; "+" &amp; $I$13 &amp; "d" &amp; $K$13</f>
        <v>44+3d10</v>
      </c>
      <c r="E28" s="14" t="str">
        <f>($I$12*$K$12)+5+$M$12+IF($I15="光輝",3,0)+$I$7 &amp; "+" &amp; $I$13 &amp; "d" &amp; $K$13</f>
        <v>44+3d10</v>
      </c>
      <c r="F28" s="14" t="str">
        <f>($I$12*$K$12)+5+$M$12+IF($I15="光輝",3,0)+$I$7 &amp; "+" &amp; $I$13 &amp; "d" &amp; $K$13 &amp; IF($I$5=1," ★","")</f>
        <v>44+3d10 ★</v>
      </c>
      <c r="G28" s="71" t="str">
        <f>($I$12*$K$12)+5+$M$12+IF($I$15="光輝",3,0)+$I$7 &amp; "+" &amp; $I$13 &amp; "d" &amp; $K$13 &amp; IF($I$5=1," ★","")</f>
        <v>44+3d10 ★</v>
      </c>
      <c r="I28"/>
      <c r="J28"/>
      <c r="K28"/>
    </row>
    <row r="29" spans="1:11" ht="24" customHeight="1" thickBot="1">
      <c r="A29" s="124"/>
      <c r="B29" s="121"/>
      <c r="C29" s="18" t="s">
        <v>2</v>
      </c>
      <c r="D29" s="15" t="str">
        <f>($I$12*$K$12)+5+$M$12+IF($I$15="光輝",3,0)+$I$7 + ($I$14*$K$14) &amp; "+" &amp; $I$13 &amp; "d" &amp; $K$13</f>
        <v>60+3d10</v>
      </c>
      <c r="E29" s="15" t="str">
        <f>($I$12*$K$12)+5+$M$12+IF($I$15="光輝",3,0)+$I$7 + ($I$14*$K$14) &amp; "+" &amp; $I$13 &amp; "d" &amp; $K$13</f>
        <v>60+3d10</v>
      </c>
      <c r="F29" s="15" t="str">
        <f>($I$12*$K$12)+5+$M$12+IF($I$15="光輝",3,0)+$I$7 + ($I$14*$K$14) &amp; "+" &amp; $I$13 &amp; "d" &amp; $K$13 &amp; IF($I$5=1," ★","")</f>
        <v>60+3d10 ★</v>
      </c>
      <c r="G29" s="72" t="str">
        <f>($I$12*$K$12)+5+$M$12+IF($I$15="光輝",3,0)+$I$7 + ($I$14*$K$14) &amp; "+" &amp; $I$13 &amp; "d" &amp; $K$13 &amp; IF($I$5=1," ★","")</f>
        <v>60+3d10 ★</v>
      </c>
      <c r="I29"/>
      <c r="J29"/>
      <c r="K29"/>
    </row>
    <row r="30" spans="1:11" ht="24" customHeight="1">
      <c r="A30" s="111" t="s">
        <v>82</v>
      </c>
      <c r="B30" s="111"/>
      <c r="C30" s="111"/>
      <c r="D30" s="111"/>
      <c r="E30" s="111"/>
      <c r="F30" s="111"/>
      <c r="G30" s="111"/>
      <c r="I30"/>
      <c r="J30"/>
      <c r="K30"/>
    </row>
    <row r="31" spans="1:11" ht="18.75">
      <c r="A31" s="107" t="s">
        <v>89</v>
      </c>
      <c r="B31" s="107"/>
      <c r="C31" s="107"/>
      <c r="D31" s="107"/>
      <c r="E31" s="107"/>
      <c r="F31" s="107"/>
      <c r="G31" s="107"/>
      <c r="I31"/>
      <c r="J31"/>
      <c r="K31"/>
    </row>
    <row r="32" spans="1:11">
      <c r="A32" s="106" t="s">
        <v>83</v>
      </c>
      <c r="B32" s="106"/>
      <c r="C32" s="106"/>
      <c r="D32" s="106"/>
      <c r="E32" s="106"/>
      <c r="F32" s="106"/>
      <c r="G32" s="106"/>
      <c r="I32"/>
      <c r="J32"/>
      <c r="K32"/>
    </row>
    <row r="33" spans="1:7" ht="17.25">
      <c r="A33" s="107" t="s">
        <v>90</v>
      </c>
      <c r="B33" s="107"/>
      <c r="C33" s="107"/>
      <c r="D33" s="107"/>
      <c r="E33" s="107"/>
      <c r="F33" s="107"/>
      <c r="G33" s="107"/>
    </row>
    <row r="34" spans="1:7">
      <c r="A34" s="104" t="s">
        <v>66</v>
      </c>
      <c r="B34" s="104"/>
      <c r="C34" s="104"/>
      <c r="D34" s="104"/>
      <c r="E34" s="104"/>
      <c r="F34" s="104"/>
      <c r="G34" s="104"/>
    </row>
    <row r="35" spans="1:7">
      <c r="A35" s="108" t="s">
        <v>88</v>
      </c>
      <c r="B35" s="109"/>
      <c r="C35" s="109"/>
      <c r="D35" s="109"/>
      <c r="E35" s="109"/>
      <c r="F35" s="109"/>
      <c r="G35" s="110"/>
    </row>
    <row r="36" spans="1:7">
      <c r="A36" s="100" t="s">
        <v>243</v>
      </c>
      <c r="B36" s="101"/>
      <c r="C36" s="101"/>
      <c r="D36" s="101"/>
      <c r="E36" s="101"/>
      <c r="F36" s="101"/>
      <c r="G36" s="102"/>
    </row>
    <row r="37" spans="1:7">
      <c r="A37" s="100" t="s">
        <v>230</v>
      </c>
      <c r="B37" s="101"/>
      <c r="C37" s="101"/>
      <c r="D37" s="101"/>
      <c r="E37" s="101"/>
      <c r="F37" s="101"/>
      <c r="G37" s="102"/>
    </row>
    <row r="38" spans="1:7">
      <c r="A38" s="100" t="s">
        <v>233</v>
      </c>
      <c r="B38" s="101"/>
      <c r="C38" s="101"/>
      <c r="D38" s="101"/>
      <c r="E38" s="101"/>
      <c r="F38" s="101"/>
      <c r="G38" s="102"/>
    </row>
    <row r="39" spans="1:7">
      <c r="A39" s="100" t="s">
        <v>231</v>
      </c>
      <c r="B39" s="101"/>
      <c r="C39" s="101"/>
      <c r="D39" s="101"/>
      <c r="E39" s="101"/>
      <c r="F39" s="101"/>
      <c r="G39" s="102"/>
    </row>
    <row r="40" spans="1:7">
      <c r="A40" s="100" t="s">
        <v>232</v>
      </c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234</v>
      </c>
      <c r="B43" s="104"/>
      <c r="C43" s="104"/>
      <c r="D43" s="104"/>
      <c r="E43" s="104"/>
      <c r="F43" s="104"/>
      <c r="G43" s="105"/>
    </row>
    <row r="44" spans="1:7" ht="21">
      <c r="A44" s="50" t="s">
        <v>43</v>
      </c>
      <c r="B44" s="79">
        <f>$B$1</f>
        <v>5</v>
      </c>
      <c r="C44" s="51" t="s">
        <v>61</v>
      </c>
      <c r="D44" s="52" t="str">
        <f>$E$1</f>
        <v>一日毎</v>
      </c>
      <c r="E44" s="167" t="str">
        <f>$B$2</f>
        <v>フューリィ・オヴ・ギベス</v>
      </c>
      <c r="F44" s="168"/>
      <c r="G44" s="169"/>
    </row>
  </sheetData>
  <mergeCells count="38">
    <mergeCell ref="E44:G44"/>
    <mergeCell ref="A41:G41"/>
    <mergeCell ref="H11:H12"/>
    <mergeCell ref="B10:G10"/>
    <mergeCell ref="B11:G11"/>
    <mergeCell ref="A33:G33"/>
    <mergeCell ref="A34:G34"/>
    <mergeCell ref="A35:G35"/>
    <mergeCell ref="A36:G36"/>
    <mergeCell ref="A37:G37"/>
    <mergeCell ref="A24:A29"/>
    <mergeCell ref="B28:B29"/>
    <mergeCell ref="A30:G30"/>
    <mergeCell ref="A31:G31"/>
    <mergeCell ref="A32:G32"/>
    <mergeCell ref="B25:B27"/>
    <mergeCell ref="B1:C1"/>
    <mergeCell ref="F1:G1"/>
    <mergeCell ref="B2:G2"/>
    <mergeCell ref="B4:G4"/>
    <mergeCell ref="B5:G5"/>
    <mergeCell ref="B6:D6"/>
    <mergeCell ref="A18:A23"/>
    <mergeCell ref="B19:B21"/>
    <mergeCell ref="B22:B23"/>
    <mergeCell ref="B7:G7"/>
    <mergeCell ref="B8:G8"/>
    <mergeCell ref="B9:G9"/>
    <mergeCell ref="B12:G12"/>
    <mergeCell ref="B13:G13"/>
    <mergeCell ref="B14:G14"/>
    <mergeCell ref="B15:G15"/>
    <mergeCell ref="A17:C17"/>
    <mergeCell ref="A43:G43"/>
    <mergeCell ref="A39:G39"/>
    <mergeCell ref="A40:G40"/>
    <mergeCell ref="A42:G42"/>
    <mergeCell ref="A38:G38"/>
  </mergeCells>
  <phoneticPr fontId="1"/>
  <conditionalFormatting sqref="G6">
    <cfRule type="cellIs" dxfId="3" priority="3" operator="lessThan">
      <formula>9</formula>
    </cfRule>
  </conditionalFormatting>
  <conditionalFormatting sqref="F6">
    <cfRule type="cellIs" dxfId="2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50" t="s">
        <v>43</v>
      </c>
      <c r="B1" s="171">
        <v>9</v>
      </c>
      <c r="C1" s="172"/>
      <c r="D1" s="51" t="s">
        <v>61</v>
      </c>
      <c r="E1" s="52" t="s">
        <v>121</v>
      </c>
      <c r="F1" s="173"/>
      <c r="G1" s="174"/>
      <c r="H1" s="36" t="s">
        <v>96</v>
      </c>
    </row>
    <row r="2" spans="1:13" ht="24.75" customHeight="1">
      <c r="A2" s="51" t="s">
        <v>0</v>
      </c>
      <c r="B2" s="175" t="s">
        <v>135</v>
      </c>
      <c r="C2" s="175"/>
      <c r="D2" s="175"/>
      <c r="E2" s="175"/>
      <c r="F2" s="175"/>
      <c r="G2" s="175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136</v>
      </c>
      <c r="C4" s="136"/>
      <c r="D4" s="136"/>
      <c r="E4" s="136"/>
      <c r="F4" s="136"/>
      <c r="G4" s="137"/>
      <c r="H4" s="23" t="s">
        <v>80</v>
      </c>
      <c r="I4" s="26">
        <v>0</v>
      </c>
    </row>
    <row r="5" spans="1:13">
      <c r="A5" s="39" t="s">
        <v>58</v>
      </c>
      <c r="B5" s="135" t="s">
        <v>137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10</v>
      </c>
      <c r="H6" s="58" t="s">
        <v>153</v>
      </c>
      <c r="I6" s="57">
        <v>0</v>
      </c>
    </row>
    <row r="7" spans="1:13">
      <c r="A7" s="40" t="s">
        <v>10</v>
      </c>
      <c r="B7" s="135" t="s">
        <v>138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139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10</v>
      </c>
    </row>
    <row r="9" spans="1:13">
      <c r="A9" s="42" t="s">
        <v>16</v>
      </c>
      <c r="B9" s="138" t="s">
        <v>140</v>
      </c>
      <c r="C9" s="139"/>
      <c r="D9" s="139"/>
      <c r="E9" s="139"/>
      <c r="F9" s="139"/>
      <c r="G9" s="140"/>
      <c r="H9" s="3"/>
      <c r="I9" s="36" t="s">
        <v>97</v>
      </c>
      <c r="K9" s="36" t="s">
        <v>186</v>
      </c>
    </row>
    <row r="10" spans="1:13">
      <c r="A10" s="42" t="s">
        <v>187</v>
      </c>
      <c r="B10" s="181" t="s">
        <v>180</v>
      </c>
      <c r="C10" s="139"/>
      <c r="D10" s="139"/>
      <c r="E10" s="139"/>
      <c r="F10" s="139"/>
      <c r="G10" s="140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1"/>
      <c r="B11" s="100" t="s">
        <v>181</v>
      </c>
      <c r="C11" s="101"/>
      <c r="D11" s="101"/>
      <c r="E11" s="101"/>
      <c r="F11" s="101"/>
      <c r="G11" s="102"/>
      <c r="H11" s="133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182</v>
      </c>
      <c r="C12" s="101"/>
      <c r="D12" s="101"/>
      <c r="E12" s="101"/>
      <c r="F12" s="101"/>
      <c r="G12" s="102"/>
      <c r="H12" s="134"/>
      <c r="I12" s="26">
        <v>2</v>
      </c>
      <c r="J12" s="23" t="s">
        <v>77</v>
      </c>
      <c r="K12" s="26">
        <v>10</v>
      </c>
      <c r="L12" s="23" t="s">
        <v>95</v>
      </c>
      <c r="M12" s="6">
        <f>IF($I$11="知力",基本!$H$36,基本!$H$18)</f>
        <v>10</v>
      </c>
    </row>
    <row r="13" spans="1:13">
      <c r="A13" s="41"/>
      <c r="B13" s="141" t="s">
        <v>183</v>
      </c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160</v>
      </c>
    </row>
    <row r="16" spans="1:13" ht="14.25" thickBot="1">
      <c r="A16" s="35" t="s">
        <v>86</v>
      </c>
      <c r="E16" s="4"/>
    </row>
    <row r="17" spans="1:11" ht="18.75" customHeight="1" thickBot="1">
      <c r="A17" s="164" t="str">
        <f>$B$2</f>
        <v>リング･オブ･ペイン</v>
      </c>
      <c r="B17" s="165"/>
      <c r="C17" s="166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</v>
      </c>
      <c r="E18" s="9" t="str">
        <f>$M$10+2+$I$6 &amp; "+1d20" &amp; IF($I$4=1," ※","")</f>
        <v>18+1d20</v>
      </c>
      <c r="F18" s="9" t="str">
        <f>$M$10+$I$6+3 &amp; "+1d20" &amp; " ※"</f>
        <v>19+1d20 ※</v>
      </c>
      <c r="G18" s="68" t="str">
        <f>$M$10+$I$6+5 &amp; "+1d20" &amp; " ※"</f>
        <v>21+1d20 ※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10+2d10</v>
      </c>
      <c r="E19" s="11" t="str">
        <f>$M$12+IF($I15="光輝",3,0)+$I$7 &amp; "+" &amp; $I$12 &amp; "d" &amp; $K$12</f>
        <v>10+2d10</v>
      </c>
      <c r="F19" s="11" t="str">
        <f>$M$12+IF($I15="光輝",3,0)+$I$7&amp;"+"&amp;$I$12&amp;"d"&amp;$K$12 &amp; IF($I$5=1," ★","")</f>
        <v>10+2d10 ★</v>
      </c>
      <c r="G19" s="69" t="str">
        <f>$M$12+IF($I15="光輝",3,0)+$I$7 &amp; "+" &amp; $I$12 &amp; "d" &amp; $K$12 &amp; IF($I$5=1," ★","")</f>
        <v>10+2d10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10+2d10+2d8</v>
      </c>
      <c r="E20" s="16" t="str">
        <f>$M$12+IF($I15="光輝",3,0)+$I$7 &amp; "+" &amp; $I$12 &amp; "d" &amp; $K$12 &amp; "+" &amp; $I$14 &amp; "d"&amp; $K$14</f>
        <v>10+2d10+2d8</v>
      </c>
      <c r="F20" s="16" t="str">
        <f>$M$12+IF($I15="光輝",3,0)+$I$7 &amp; "+" &amp; $I$12 &amp; "d" &amp; $K$12 &amp; "+" &amp; $I$14 &amp; "d"&amp; $K$14 &amp; IF($I$5=1," ★","")</f>
        <v>10+2d10+2d8 ★</v>
      </c>
      <c r="G20" s="70" t="str">
        <f>$M$12+IF($I15="光輝",3,0)+$I$7 &amp; "+" &amp; $I$12 &amp; "d" &amp; $K$12 &amp; "+" &amp; $I$14 &amp; "d"&amp; $K$14 &amp; IF($I$5=1," ★","")</f>
        <v>10+2d10+2d8 ★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30+3d10</v>
      </c>
      <c r="E21" s="14" t="str">
        <f>($I$12*$K$12)+$M$12+IF($I15="光輝",3,0)+$I$7 &amp; "+" &amp; $I$13 &amp; "d" &amp; $K$13</f>
        <v>30+3d10</v>
      </c>
      <c r="F21" s="14" t="str">
        <f>($I$12*$K$12)+$M$12+IF($I15="光輝",3,0)+$I$7 &amp; "+" &amp; $I$13 &amp; "d" &amp; $K$13 &amp; IF($I$5=1," ★","")</f>
        <v>30+3d10 ★</v>
      </c>
      <c r="G21" s="71" t="str">
        <f>($I$12*$K$12)+$M$12+IF($I15="光輝",3,0)+$I$7 &amp; "+" &amp; $I$13 &amp; "d" &amp; $K$13 &amp; IF($I$5=1," ★","")</f>
        <v>30+3d10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46+3d10</v>
      </c>
      <c r="E22" s="15" t="str">
        <f>($I$12*$K$12)+$M$12+IF($I15="光輝",3,0)+$I$7 + ($I$14*$K$14) &amp; "+" &amp; $I$13 &amp; "d" &amp; $K$13</f>
        <v>46+3d10</v>
      </c>
      <c r="F22" s="15" t="str">
        <f>($I$12*$K$12)+$M$12+IF($I15="光輝",3,0)+$I$7 + ($I$14*$K$14) &amp; "+" &amp; $I$13 &amp; "d" &amp; $K$13 &amp; IF($I$5=1," ★","")</f>
        <v>46+3d10 ★</v>
      </c>
      <c r="G22" s="72" t="str">
        <f>($I$12*$K$12)+$M$12+IF($I15="光輝",3,0)+$I$7 + ($I$14*$K$14) &amp; "+" &amp; $I$13 &amp; "d" &amp; $K$13 &amp; IF($I$5=1," ★","")</f>
        <v>46+3d10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</v>
      </c>
      <c r="E23" s="9" t="str">
        <f>$M$10+$I$6+3 &amp; "+1d20" &amp; IF($I$4=1," ※","")</f>
        <v>19+1d20</v>
      </c>
      <c r="F23" s="9" t="str">
        <f>$M$10+$I$6+4 &amp; "+1d20" &amp; " ※"</f>
        <v>20+1d20 ※</v>
      </c>
      <c r="G23" s="68" t="str">
        <f>$M$10+$I$6+5+1 &amp; "+1d20" &amp; " ※"</f>
        <v>22+1d20 ※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15+2d10</v>
      </c>
      <c r="E24" s="11" t="str">
        <f>$M$12+IF($I15="光輝",3,0)+$I$7+5 &amp; "+" &amp; $I$12 &amp; $J$12 &amp; $K$12</f>
        <v>15+2d10</v>
      </c>
      <c r="F24" s="11" t="str">
        <f>$M$12+IF($I15="光輝",3,0)+$I$7+5 &amp; "+" &amp; $I$12 &amp; $J$12 &amp; $K$12 &amp; IF($I$5=1," ★","")</f>
        <v>15+2d10 ★</v>
      </c>
      <c r="G24" s="69" t="str">
        <f>$M$12+IF($I15="光輝",3,0)+$I$7+5 &amp; "+" &amp; $I$12 &amp; $J$12 &amp; $K$12 &amp; IF($I$5=1," ★","")</f>
        <v>15+2d10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15+2d10+2d8</v>
      </c>
      <c r="E25" s="16" t="str">
        <f>$M$12+IF($I15="光輝",3,0)+$I$7+5 &amp; "+" &amp; $I$12 &amp; "d" &amp; $K$12 &amp; "+" &amp; $I$14 &amp; "d"&amp; $K$14</f>
        <v>15+2d10+2d8</v>
      </c>
      <c r="F25" s="16" t="str">
        <f>$M$12+IF($I15="光輝",3,0)+$I$7+5 &amp; "+" &amp; $I$12 &amp; "d" &amp; $K$12 &amp; "+" &amp; $I$14 &amp; "d"&amp; $K$14 &amp; IF($I$5=1," ★","")</f>
        <v>15+2d10+2d8 ★</v>
      </c>
      <c r="G25" s="70" t="str">
        <f>$M$12+IF($I15="光輝",3,0)+$I$7+5 &amp; "+" &amp; $I$12 &amp; "d" &amp; $K$12 &amp; "+" &amp; $I$14 &amp; "d"&amp; $K$14 &amp; IF($I$5=1," ★","")</f>
        <v>15+2d10+2d8 ★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35+3d10</v>
      </c>
      <c r="E26" s="14" t="str">
        <f>($I$12*$K$12)+5+$M$12+IF($I15="光輝",3,0)+$I$7 &amp; "+" &amp; $I$13 &amp; "d" &amp; $K$13</f>
        <v>35+3d10</v>
      </c>
      <c r="F26" s="14" t="str">
        <f>($I$12*$K$12)+5+$M$12+IF($I15="光輝",3,0)+$I$7 &amp; "+" &amp; $I$13 &amp; "d" &amp; $K$13 &amp; IF($I$5=1," ★","")</f>
        <v>35+3d10 ★</v>
      </c>
      <c r="G26" s="71" t="str">
        <f>($I$12*$K$12)+5+$M$12+IF($I15="光輝",3,0)+$I$7 &amp; "+" &amp; $I$13 &amp; "d" &amp; $K$13 &amp; IF($I$5=1," ★","")</f>
        <v>35+3d10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51+3d10</v>
      </c>
      <c r="E27" s="15" t="str">
        <f>($I$12*$K$12)+5+$M$12+IF($I15="光輝",3,0)+$I$7 + ($I$14*$K$14) &amp; "+" &amp; $I$13 &amp; "d" &amp; $K$13</f>
        <v>51+3d10</v>
      </c>
      <c r="F27" s="15" t="str">
        <f>($I$12*$K$12)+5+$M$12+IF($I15="光輝",3,0)+$I$7 + ($I$14*$K$14) &amp; "+" &amp; $I$13 &amp; "d" &amp; $K$13 &amp; IF($I$5=1," ★","")</f>
        <v>51+3d10 ★</v>
      </c>
      <c r="G27" s="72" t="str">
        <f>($I$12*$K$12)+5+$M$12+IF($I15="光輝",3,0)+$I$7 + ($I$14*$K$14) &amp; "+" &amp; $I$13 &amp; "d" &amp; $K$13 &amp; IF($I$5=1," ★","")</f>
        <v>51+3d10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 t="s">
        <v>235</v>
      </c>
      <c r="B34" s="101"/>
      <c r="C34" s="101"/>
      <c r="D34" s="101"/>
      <c r="E34" s="101"/>
      <c r="F34" s="101"/>
      <c r="G34" s="102"/>
    </row>
    <row r="35" spans="1:7">
      <c r="A35" s="100" t="s">
        <v>236</v>
      </c>
      <c r="B35" s="101"/>
      <c r="C35" s="101"/>
      <c r="D35" s="101"/>
      <c r="E35" s="101"/>
      <c r="F35" s="101"/>
      <c r="G35" s="102"/>
    </row>
    <row r="36" spans="1:7">
      <c r="A36" s="100" t="s">
        <v>237</v>
      </c>
      <c r="B36" s="101"/>
      <c r="C36" s="101"/>
      <c r="D36" s="101"/>
      <c r="E36" s="101"/>
      <c r="F36" s="101"/>
      <c r="G36" s="102"/>
    </row>
    <row r="37" spans="1:7">
      <c r="A37" s="100" t="s">
        <v>238</v>
      </c>
      <c r="B37" s="101"/>
      <c r="C37" s="101"/>
      <c r="D37" s="101"/>
      <c r="E37" s="101"/>
      <c r="F37" s="101"/>
      <c r="G37" s="102"/>
    </row>
    <row r="38" spans="1:7">
      <c r="A38" s="100" t="s">
        <v>239</v>
      </c>
      <c r="B38" s="101"/>
      <c r="C38" s="101"/>
      <c r="D38" s="101"/>
      <c r="E38" s="101"/>
      <c r="F38" s="101"/>
      <c r="G38" s="102"/>
    </row>
    <row r="39" spans="1:7">
      <c r="A39" s="100"/>
      <c r="B39" s="101"/>
      <c r="C39" s="101"/>
      <c r="D39" s="101"/>
      <c r="E39" s="101"/>
      <c r="F39" s="101"/>
      <c r="G39" s="102"/>
    </row>
    <row r="40" spans="1:7">
      <c r="A40" s="161" t="s">
        <v>241</v>
      </c>
      <c r="B40" s="162"/>
      <c r="C40" s="162"/>
      <c r="D40" s="162"/>
      <c r="E40" s="162"/>
      <c r="F40" s="162"/>
      <c r="G40" s="163"/>
    </row>
    <row r="41" spans="1:7">
      <c r="A41" s="161" t="s">
        <v>242</v>
      </c>
      <c r="B41" s="162"/>
      <c r="C41" s="162"/>
      <c r="D41" s="162"/>
      <c r="E41" s="162"/>
      <c r="F41" s="162"/>
      <c r="G41" s="163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240</v>
      </c>
      <c r="B43" s="104"/>
      <c r="C43" s="104"/>
      <c r="D43" s="104"/>
      <c r="E43" s="104"/>
      <c r="F43" s="104"/>
      <c r="G43" s="105"/>
    </row>
    <row r="44" spans="1:7" ht="21">
      <c r="A44" s="83" t="s">
        <v>43</v>
      </c>
      <c r="B44" s="84">
        <f>$B$1</f>
        <v>9</v>
      </c>
      <c r="C44" s="85" t="s">
        <v>61</v>
      </c>
      <c r="D44" s="86" t="str">
        <f>$E$1</f>
        <v>一日毎</v>
      </c>
      <c r="E44" s="167" t="str">
        <f>$B$2</f>
        <v>リング･オブ･ペイン</v>
      </c>
      <c r="F44" s="168"/>
      <c r="G44" s="169"/>
    </row>
  </sheetData>
  <mergeCells count="40">
    <mergeCell ref="H11:H12"/>
    <mergeCell ref="B10:G10"/>
    <mergeCell ref="B11:G11"/>
    <mergeCell ref="B1:C1"/>
    <mergeCell ref="F1:G1"/>
    <mergeCell ref="B2:G2"/>
    <mergeCell ref="B4:G4"/>
    <mergeCell ref="B5:G5"/>
    <mergeCell ref="B6:D6"/>
    <mergeCell ref="A18:A22"/>
    <mergeCell ref="B19:B20"/>
    <mergeCell ref="B21:B22"/>
    <mergeCell ref="B7:G7"/>
    <mergeCell ref="B8:G8"/>
    <mergeCell ref="B9:G9"/>
    <mergeCell ref="B12:G12"/>
    <mergeCell ref="B13:G13"/>
    <mergeCell ref="B14:G14"/>
    <mergeCell ref="B15:G15"/>
    <mergeCell ref="A17:C17"/>
    <mergeCell ref="A36:G36"/>
    <mergeCell ref="A23:A27"/>
    <mergeCell ref="B24:B25"/>
    <mergeCell ref="B26:B27"/>
    <mergeCell ref="A28:G28"/>
    <mergeCell ref="A29:G29"/>
    <mergeCell ref="A30:G30"/>
    <mergeCell ref="A31:G31"/>
    <mergeCell ref="A32:G32"/>
    <mergeCell ref="A33:G33"/>
    <mergeCell ref="A34:G34"/>
    <mergeCell ref="A35:G35"/>
    <mergeCell ref="E44:G44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1" priority="3" operator="lessThan">
      <formula>9</formula>
    </cfRule>
  </conditionalFormatting>
  <conditionalFormatting sqref="F6">
    <cfRule type="cellIs" dxfId="0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M44"/>
  <sheetViews>
    <sheetView tabSelected="1"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31" t="s">
        <v>43</v>
      </c>
      <c r="B1" s="129">
        <v>1</v>
      </c>
      <c r="C1" s="130"/>
      <c r="D1" s="33" t="s">
        <v>61</v>
      </c>
      <c r="E1" s="32" t="s">
        <v>62</v>
      </c>
      <c r="F1" s="131"/>
      <c r="G1" s="132"/>
      <c r="H1" s="36" t="s">
        <v>96</v>
      </c>
    </row>
    <row r="2" spans="1:13" ht="24.75" customHeight="1">
      <c r="A2" s="33" t="s">
        <v>0</v>
      </c>
      <c r="B2" s="128" t="s">
        <v>8</v>
      </c>
      <c r="C2" s="128"/>
      <c r="D2" s="128"/>
      <c r="E2" s="128"/>
      <c r="F2" s="128"/>
      <c r="G2" s="128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12</v>
      </c>
      <c r="C4" s="136"/>
      <c r="D4" s="136"/>
      <c r="E4" s="136"/>
      <c r="F4" s="136"/>
      <c r="G4" s="137"/>
      <c r="H4" s="54" t="s">
        <v>80</v>
      </c>
      <c r="I4" s="55">
        <v>0</v>
      </c>
    </row>
    <row r="5" spans="1:13">
      <c r="A5" s="39" t="s">
        <v>58</v>
      </c>
      <c r="B5" s="135" t="s">
        <v>57</v>
      </c>
      <c r="C5" s="136"/>
      <c r="D5" s="136"/>
      <c r="E5" s="136"/>
      <c r="F5" s="136"/>
      <c r="G5" s="137"/>
      <c r="H5" s="54" t="s">
        <v>81</v>
      </c>
      <c r="I5" s="55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6" t="str">
        <f>$I$8</f>
        <v>遠隔</v>
      </c>
      <c r="G6" s="59">
        <f>$J$8</f>
        <v>10</v>
      </c>
      <c r="H6" s="58" t="s">
        <v>153</v>
      </c>
      <c r="I6" s="57">
        <v>1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15</v>
      </c>
      <c r="C8" s="136"/>
      <c r="D8" s="136"/>
      <c r="E8" s="136"/>
      <c r="F8" s="136"/>
      <c r="G8" s="137"/>
      <c r="H8" s="54" t="s">
        <v>75</v>
      </c>
      <c r="I8" s="55" t="s">
        <v>76</v>
      </c>
      <c r="J8" s="55">
        <v>10</v>
      </c>
    </row>
    <row r="9" spans="1:13">
      <c r="A9" s="41" t="s">
        <v>16</v>
      </c>
      <c r="B9" s="135" t="s">
        <v>17</v>
      </c>
      <c r="C9" s="136"/>
      <c r="D9" s="136"/>
      <c r="E9" s="136"/>
      <c r="F9" s="136"/>
      <c r="G9" s="137"/>
      <c r="H9" s="56"/>
      <c r="I9" s="36" t="s">
        <v>97</v>
      </c>
      <c r="K9" s="36" t="s">
        <v>186</v>
      </c>
    </row>
    <row r="10" spans="1:13">
      <c r="A10" s="42" t="s">
        <v>18</v>
      </c>
      <c r="B10" s="138" t="s">
        <v>63</v>
      </c>
      <c r="C10" s="139"/>
      <c r="D10" s="139"/>
      <c r="E10" s="139"/>
      <c r="F10" s="139"/>
      <c r="G10" s="140"/>
      <c r="H10" s="54" t="s">
        <v>92</v>
      </c>
      <c r="I10" s="55" t="s">
        <v>27</v>
      </c>
      <c r="J10" s="55" t="s">
        <v>31</v>
      </c>
      <c r="K10" s="73">
        <f>IF($I$10="知力",基本!$K$36,基本!$K$18)</f>
        <v>5</v>
      </c>
      <c r="L10" s="54" t="s">
        <v>94</v>
      </c>
      <c r="M10" s="53">
        <f>IF($I$10="知力",基本!$G$34,基本!$G$16)</f>
        <v>16</v>
      </c>
    </row>
    <row r="11" spans="1:13">
      <c r="A11" s="41"/>
      <c r="B11" s="100" t="s">
        <v>64</v>
      </c>
      <c r="C11" s="101"/>
      <c r="D11" s="101"/>
      <c r="E11" s="101"/>
      <c r="F11" s="101"/>
      <c r="G11" s="102"/>
      <c r="H11" s="133" t="s">
        <v>93</v>
      </c>
      <c r="I11" s="55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65</v>
      </c>
      <c r="C12" s="101"/>
      <c r="D12" s="101"/>
      <c r="E12" s="101"/>
      <c r="F12" s="101"/>
      <c r="G12" s="102"/>
      <c r="H12" s="134"/>
      <c r="I12" s="55">
        <v>1</v>
      </c>
      <c r="J12" s="54" t="s">
        <v>77</v>
      </c>
      <c r="K12" s="55">
        <v>10</v>
      </c>
      <c r="L12" s="54" t="s">
        <v>95</v>
      </c>
      <c r="M12" s="53">
        <f>IF($I$11="知力",基本!$H$36,基本!$H$18)</f>
        <v>10</v>
      </c>
    </row>
    <row r="13" spans="1:13">
      <c r="A13" s="41"/>
      <c r="B13" s="141" t="s">
        <v>164</v>
      </c>
      <c r="C13" s="101"/>
      <c r="D13" s="101"/>
      <c r="E13" s="101"/>
      <c r="F13" s="101"/>
      <c r="G13" s="102"/>
      <c r="H13" s="54" t="s">
        <v>91</v>
      </c>
      <c r="I13" s="53">
        <f>IF($I$11="知力",基本!$L$38,基本!$L$20)</f>
        <v>3</v>
      </c>
      <c r="J13" s="54" t="s">
        <v>77</v>
      </c>
      <c r="K13" s="53">
        <f>IF($I$11="知力",基本!$N$38,基本!$N$20)</f>
        <v>10</v>
      </c>
    </row>
    <row r="14" spans="1:13">
      <c r="A14" s="41"/>
      <c r="B14" s="100" t="s">
        <v>19</v>
      </c>
      <c r="C14" s="101"/>
      <c r="D14" s="101"/>
      <c r="E14" s="101"/>
      <c r="F14" s="101"/>
      <c r="G14" s="102"/>
      <c r="H14" s="54" t="s">
        <v>99</v>
      </c>
      <c r="I14" s="53">
        <f>基本!$B$21</f>
        <v>2</v>
      </c>
      <c r="J14" s="54" t="s">
        <v>77</v>
      </c>
      <c r="K14" s="53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57"/>
    </row>
    <row r="16" spans="1:13" ht="14.25" thickBot="1">
      <c r="A16" s="35" t="s">
        <v>86</v>
      </c>
      <c r="E16" s="4"/>
    </row>
    <row r="17" spans="1:11" ht="18.75" customHeight="1" thickBot="1">
      <c r="A17" s="112" t="str">
        <f>$B$2</f>
        <v>エルドリッチ・ブラスト</v>
      </c>
      <c r="B17" s="113"/>
      <c r="C17" s="114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17+1d20</v>
      </c>
      <c r="E18" s="9" t="str">
        <f>$M$10+2+$I$6 &amp; "+1d20" &amp; IF($I$4=1," ※","")</f>
        <v>19+1d20</v>
      </c>
      <c r="F18" s="9" t="str">
        <f>$M$10+$I$6+3 &amp; "+1d20" &amp; " ※"</f>
        <v>20+1d20 ※</v>
      </c>
      <c r="G18" s="68" t="str">
        <f>$M$10+$I$6+5 &amp; "+1d20" &amp; " ※"</f>
        <v>22+1d20 ※</v>
      </c>
    </row>
    <row r="19" spans="1:11" ht="24.75" customHeight="1">
      <c r="A19" s="116"/>
      <c r="B19" s="118" t="s">
        <v>68</v>
      </c>
      <c r="C19" s="10" t="s">
        <v>4</v>
      </c>
      <c r="D19" s="11" t="str">
        <f>$M$12+IF($I15="光輝",3,0)+$I$7 &amp; "+" &amp; $I$12 &amp; "d" &amp; $K$12</f>
        <v>10+1d10</v>
      </c>
      <c r="E19" s="11" t="str">
        <f>$M$12+IF($I15="光輝",3,0)+$I$7 &amp; "+" &amp; $I$12 &amp; "d" &amp; $K$12</f>
        <v>10+1d10</v>
      </c>
      <c r="F19" s="11" t="str">
        <f>$M$12+IF($I15="光輝",3,0)+$I$7&amp;"+"&amp;$I$12&amp;"d"&amp;$K$12 &amp; IF($I$5=1," ★","")</f>
        <v>10+1d10 ★</v>
      </c>
      <c r="G19" s="69" t="str">
        <f>$M$12+IF($I15="光輝",3,0)+$I$7 &amp; "+" &amp; $I$12 &amp; "d" &amp; $K$12 &amp; IF($I$5=1," ★","")</f>
        <v>10+1d10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10+1d10+2d8</v>
      </c>
      <c r="E20" s="16" t="str">
        <f>$M$12+IF($I15="光輝",3,0)+$I$7 &amp; "+" &amp; $I$12 &amp; "d" &amp; $K$12 &amp; "+" &amp; $I$14 &amp; "d"&amp; $K$14</f>
        <v>10+1d10+2d8</v>
      </c>
      <c r="F20" s="16" t="str">
        <f>$M$12+IF($I15="光輝",3,0)+$I$7 &amp; "+" &amp; $I$12 &amp; "d" &amp; $K$12 &amp; "+" &amp; $I$14 &amp; "d"&amp; $K$14 &amp; IF($I$5=1," ★","")</f>
        <v>10+1d10+2d8 ★</v>
      </c>
      <c r="G20" s="70" t="str">
        <f>$M$12+IF($I15="光輝",3,0)+$I$7 &amp; "+" &amp; $I$12 &amp; "d" &amp; $K$12 &amp; "+" &amp; $I$14 &amp; "d"&amp; $K$14 &amp; IF($I$5=1," ★","")</f>
        <v>10+1d10+2d8 ★</v>
      </c>
      <c r="I20"/>
      <c r="J20"/>
      <c r="K20"/>
    </row>
    <row r="21" spans="1:11" ht="24.75" customHeight="1">
      <c r="A21" s="116"/>
      <c r="B21" s="120" t="s">
        <v>67</v>
      </c>
      <c r="C21" s="13" t="s">
        <v>4</v>
      </c>
      <c r="D21" s="14" t="str">
        <f>($I$12*$K$12)+$M$12+IF($I15="光輝",3,0)+$I$7 &amp; "+" &amp; $I$13 &amp; "d" &amp; $K$13</f>
        <v>20+3d10</v>
      </c>
      <c r="E21" s="14" t="str">
        <f>($I$12*$K$12)+$M$12+IF($I15="光輝",3,0)+$I$7 &amp; "+" &amp; $I$13 &amp; "d" &amp; $K$13</f>
        <v>20+3d10</v>
      </c>
      <c r="F21" s="14" t="str">
        <f>($I$12*$K$12)+$M$12+IF($I15="光輝",3,0)+$I$7 &amp; "+" &amp; $I$13 &amp; "d" &amp; $K$13 &amp; IF($I$5=1," ★","")</f>
        <v>20+3d10 ★</v>
      </c>
      <c r="G21" s="71" t="str">
        <f>($I$12*$K$12)+$M$12+IF($I15="光輝",3,0)+$I$7 &amp; "+" &amp; $I$13 &amp; "d" &amp; $K$13 &amp; IF($I$5=1," ★","")</f>
        <v>20+3d10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36+3d10</v>
      </c>
      <c r="E22" s="15" t="str">
        <f>($I$12*$K$12)+$M$12+IF($I15="光輝",3,0)+$I$7 + ($I$14*$K$14) &amp; "+" &amp; $I$13 &amp; "d" &amp; $K$13</f>
        <v>36+3d10</v>
      </c>
      <c r="F22" s="15" t="str">
        <f>($I$12*$K$12)+$M$12+IF($I15="光輝",3,0)+$I$7 + ($I$14*$K$14) &amp; "+" &amp; $I$13 &amp; "d" &amp; $K$13 &amp; IF($I$5=1," ★","")</f>
        <v>36+3d10 ★</v>
      </c>
      <c r="G22" s="72" t="str">
        <f>($I$12*$K$12)+$M$12+IF($I15="光輝",3,0)+$I$7 + ($I$14*$K$14) &amp; "+" &amp; $I$13 &amp; "d" &amp; $K$13 &amp; IF($I$5=1," ★","")</f>
        <v>36+3d10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18+1d20</v>
      </c>
      <c r="E23" s="9" t="str">
        <f>$M$10+$I$6+3 &amp; "+1d20" &amp; IF($I$4=1," ※","")</f>
        <v>20+1d20</v>
      </c>
      <c r="F23" s="9" t="str">
        <f>$M$10+$I$6+4 &amp; "+1d20" &amp; " ※"</f>
        <v>21+1d20 ※</v>
      </c>
      <c r="G23" s="68" t="str">
        <f>$M$10+$I$6+5+1 &amp; "+1d20" &amp; " ※"</f>
        <v>23+1d20 ※</v>
      </c>
      <c r="I23"/>
      <c r="J23"/>
      <c r="K23"/>
    </row>
    <row r="24" spans="1:11" ht="24" customHeight="1">
      <c r="A24" s="123"/>
      <c r="B24" s="118" t="s">
        <v>68</v>
      </c>
      <c r="C24" s="12" t="s">
        <v>4</v>
      </c>
      <c r="D24" s="11" t="str">
        <f>$M$12+IF($I15="光輝",3,0)+$I$7+5 &amp; "+" &amp; $I$12 &amp; $J$12 &amp; $K$12</f>
        <v>15+1d10</v>
      </c>
      <c r="E24" s="11" t="str">
        <f>$M$12+IF($I15="光輝",3,0)+$I$7+5 &amp; "+" &amp; $I$12 &amp; $J$12 &amp; $K$12</f>
        <v>15+1d10</v>
      </c>
      <c r="F24" s="11" t="str">
        <f>$M$12+IF($I15="光輝",3,0)+$I$7+5 &amp; "+" &amp; $I$12 &amp; $J$12 &amp; $K$12 &amp; IF($I$5=1," ★","")</f>
        <v>15+1d10 ★</v>
      </c>
      <c r="G24" s="69" t="str">
        <f>$M$12+IF($I15="光輝",3,0)+$I$7+5 &amp; "+" &amp; $I$12 &amp; $J$12 &amp; $K$12 &amp; IF($I$5=1," ★","")</f>
        <v>15+1d10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15+1d10+2d8</v>
      </c>
      <c r="E25" s="16" t="str">
        <f>$M$12+IF($I15="光輝",3,0)+$I$7+5 &amp; "+" &amp; $I$12 &amp; "d" &amp; $K$12 &amp; "+" &amp; $I$14 &amp; "d"&amp; $K$14</f>
        <v>15+1d10+2d8</v>
      </c>
      <c r="F25" s="16" t="str">
        <f>$M$12+IF($I15="光輝",3,0)+$I$7+5 &amp; "+" &amp; $I$12 &amp; "d" &amp; $K$12 &amp; "+" &amp; $I$14 &amp; "d"&amp; $K$14 &amp; IF($I$5=1," ★","")</f>
        <v>15+1d10+2d8 ★</v>
      </c>
      <c r="G25" s="70" t="str">
        <f>$M$12+IF($I15="光輝",3,0)+$I$7+5 &amp; "+" &amp; $I$12 &amp; "d" &amp; $K$12 &amp; "+" &amp; $I$14 &amp; "d"&amp; $K$14 &amp; IF($I$5=1," ★","")</f>
        <v>15+1d10+2d8 ★</v>
      </c>
      <c r="I25"/>
      <c r="J25"/>
      <c r="K25"/>
    </row>
    <row r="26" spans="1:11" ht="24" customHeight="1">
      <c r="A26" s="123"/>
      <c r="B26" s="120" t="s">
        <v>67</v>
      </c>
      <c r="C26" s="13" t="s">
        <v>4</v>
      </c>
      <c r="D26" s="14" t="str">
        <f>($I$12*$K$12)+5+$M$12+IF($I15="光輝",3,0)+$I$7 &amp; "+" &amp; $I$13 &amp; "d" &amp; $K$13</f>
        <v>25+3d10</v>
      </c>
      <c r="E26" s="14" t="str">
        <f>($I$12*$K$12)+5+$M$12+IF($I15="光輝",3,0)+$I$7 &amp; "+" &amp; $I$13 &amp; "d" &amp; $K$13</f>
        <v>25+3d10</v>
      </c>
      <c r="F26" s="14" t="str">
        <f>($I$12*$K$12)+5+$M$12+IF($I15="光輝",3,0)+$I$7 &amp; "+" &amp; $I$13 &amp; "d" &amp; $K$13 &amp; IF($I$5=1," ★","")</f>
        <v>25+3d10 ★</v>
      </c>
      <c r="G26" s="71" t="str">
        <f>($I$12*$K$12)+5+$M$12+IF($I15="光輝",3,0)+$I$7 &amp; "+" &amp; $I$13 &amp; "d" &amp; $K$13 &amp; IF($I$5=1," ★","")</f>
        <v>25+3d10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41+3d10</v>
      </c>
      <c r="E27" s="15" t="str">
        <f>($I$12*$K$12)+5+$M$12+IF($I15="光輝",3,0)+$I$7 + ($I$14*$K$14) &amp; "+" &amp; $I$13 &amp; "d" &amp; $K$13</f>
        <v>41+3d10</v>
      </c>
      <c r="F27" s="15" t="str">
        <f>($I$12*$K$12)+5+$M$12+IF($I15="光輝",3,0)+$I$7 + ($I$14*$K$14) &amp; "+" &amp; $I$13 &amp; "d" &amp; $K$13 &amp; IF($I$5=1," ★","")</f>
        <v>41+3d10 ★</v>
      </c>
      <c r="G27" s="72" t="str">
        <f>($I$12*$K$12)+5+$M$12+IF($I15="光輝",3,0)+$I$7 + ($I$14*$K$14) &amp; "+" &amp; $I$13 &amp; "d" &amp; $K$13 &amp; IF($I$5=1," ★","")</f>
        <v>41+3d10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190</v>
      </c>
      <c r="B35" s="101"/>
      <c r="C35" s="101"/>
      <c r="D35" s="101"/>
      <c r="E35" s="101"/>
      <c r="F35" s="101"/>
      <c r="G35" s="102"/>
    </row>
    <row r="36" spans="1:7">
      <c r="A36" s="100" t="s">
        <v>191</v>
      </c>
      <c r="B36" s="101"/>
      <c r="C36" s="101"/>
      <c r="D36" s="101"/>
      <c r="E36" s="101"/>
      <c r="F36" s="101"/>
      <c r="G36" s="102"/>
    </row>
    <row r="37" spans="1:7">
      <c r="A37" s="100"/>
      <c r="B37" s="101"/>
      <c r="C37" s="101"/>
      <c r="D37" s="101"/>
      <c r="E37" s="101"/>
      <c r="F37" s="101"/>
      <c r="G37" s="102"/>
    </row>
    <row r="38" spans="1:7">
      <c r="A38" s="100"/>
      <c r="B38" s="101"/>
      <c r="C38" s="101"/>
      <c r="D38" s="101"/>
      <c r="E38" s="101"/>
      <c r="F38" s="101"/>
      <c r="G38" s="102"/>
    </row>
    <row r="39" spans="1:7">
      <c r="A39" s="100"/>
      <c r="B39" s="101"/>
      <c r="C39" s="101"/>
      <c r="D39" s="101"/>
      <c r="E39" s="101"/>
      <c r="F39" s="101"/>
      <c r="G39" s="102"/>
    </row>
    <row r="40" spans="1:7">
      <c r="A40" s="100"/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193</v>
      </c>
      <c r="B43" s="104"/>
      <c r="C43" s="104"/>
      <c r="D43" s="104"/>
      <c r="E43" s="104"/>
      <c r="F43" s="104"/>
      <c r="G43" s="105"/>
    </row>
    <row r="44" spans="1:7" ht="21">
      <c r="A44" s="91" t="s">
        <v>43</v>
      </c>
      <c r="B44" s="92">
        <f>$B$1</f>
        <v>1</v>
      </c>
      <c r="C44" s="93" t="s">
        <v>61</v>
      </c>
      <c r="D44" s="94" t="str">
        <f>$E$1</f>
        <v>無限回</v>
      </c>
      <c r="E44" s="125" t="str">
        <f>$B$2</f>
        <v>エルドリッチ・ブラスト</v>
      </c>
      <c r="F44" s="126"/>
      <c r="G44" s="127"/>
    </row>
  </sheetData>
  <mergeCells count="40">
    <mergeCell ref="E44:G44"/>
    <mergeCell ref="B2:G2"/>
    <mergeCell ref="B1:C1"/>
    <mergeCell ref="F1:G1"/>
    <mergeCell ref="H11:H12"/>
    <mergeCell ref="B4:G4"/>
    <mergeCell ref="B5:G5"/>
    <mergeCell ref="B6:D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A28:G28"/>
    <mergeCell ref="A29:G29"/>
    <mergeCell ref="A17:C17"/>
    <mergeCell ref="A18:A22"/>
    <mergeCell ref="B19:B20"/>
    <mergeCell ref="B21:B22"/>
    <mergeCell ref="A23:A27"/>
    <mergeCell ref="B24:B25"/>
    <mergeCell ref="B26:B27"/>
    <mergeCell ref="A30:G30"/>
    <mergeCell ref="A31:G31"/>
    <mergeCell ref="A32:G32"/>
    <mergeCell ref="A33:G33"/>
    <mergeCell ref="A34:G34"/>
    <mergeCell ref="A35:G35"/>
    <mergeCell ref="A36:G36"/>
    <mergeCell ref="A37:G37"/>
    <mergeCell ref="A43:G43"/>
    <mergeCell ref="A38:G38"/>
    <mergeCell ref="A39:G39"/>
    <mergeCell ref="A40:G40"/>
    <mergeCell ref="A41:G41"/>
    <mergeCell ref="A42:G42"/>
  </mergeCells>
  <phoneticPr fontId="1"/>
  <conditionalFormatting sqref="G6">
    <cfRule type="cellIs" dxfId="21" priority="3" operator="lessThan">
      <formula>9</formula>
    </cfRule>
  </conditionalFormatting>
  <conditionalFormatting sqref="F6">
    <cfRule type="cellIs" dxfId="20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M44"/>
  <sheetViews>
    <sheetView workbookViewId="0">
      <selection activeCell="H17" sqref="H17"/>
    </sheetView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31" t="s">
        <v>43</v>
      </c>
      <c r="B1" s="129">
        <v>1</v>
      </c>
      <c r="C1" s="130"/>
      <c r="D1" s="33" t="s">
        <v>61</v>
      </c>
      <c r="E1" s="32" t="s">
        <v>62</v>
      </c>
      <c r="F1" s="131"/>
      <c r="G1" s="132"/>
      <c r="H1" s="36" t="s">
        <v>96</v>
      </c>
    </row>
    <row r="2" spans="1:13" ht="24.75" customHeight="1">
      <c r="A2" s="33" t="s">
        <v>0</v>
      </c>
      <c r="B2" s="128" t="s">
        <v>100</v>
      </c>
      <c r="C2" s="128"/>
      <c r="D2" s="128"/>
      <c r="E2" s="128"/>
      <c r="F2" s="128"/>
      <c r="G2" s="128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101</v>
      </c>
      <c r="C4" s="136"/>
      <c r="D4" s="136"/>
      <c r="E4" s="136"/>
      <c r="F4" s="136"/>
      <c r="G4" s="137"/>
      <c r="H4" s="23" t="s">
        <v>80</v>
      </c>
      <c r="I4" s="26">
        <v>1</v>
      </c>
    </row>
    <row r="5" spans="1:13">
      <c r="A5" s="39" t="s">
        <v>58</v>
      </c>
      <c r="B5" s="135" t="s">
        <v>102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6">
        <f>$J$8</f>
        <v>10</v>
      </c>
      <c r="H6" s="58" t="s">
        <v>153</v>
      </c>
      <c r="I6" s="57">
        <v>0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104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10</v>
      </c>
    </row>
    <row r="9" spans="1:13">
      <c r="A9" s="42" t="s">
        <v>16</v>
      </c>
      <c r="B9" s="135" t="s">
        <v>105</v>
      </c>
      <c r="C9" s="136"/>
      <c r="D9" s="136"/>
      <c r="E9" s="136"/>
      <c r="F9" s="136"/>
      <c r="G9" s="137"/>
      <c r="H9" s="3"/>
      <c r="I9" s="36" t="s">
        <v>97</v>
      </c>
      <c r="K9" s="36" t="s">
        <v>186</v>
      </c>
    </row>
    <row r="10" spans="1:13">
      <c r="A10" s="41"/>
      <c r="B10" s="138" t="s">
        <v>163</v>
      </c>
      <c r="C10" s="139"/>
      <c r="D10" s="139"/>
      <c r="E10" s="139"/>
      <c r="F10" s="139"/>
      <c r="G10" s="140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1"/>
      <c r="B11" s="100" t="s">
        <v>185</v>
      </c>
      <c r="C11" s="101"/>
      <c r="D11" s="101"/>
      <c r="E11" s="101"/>
      <c r="F11" s="101"/>
      <c r="G11" s="102"/>
      <c r="H11" s="133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106</v>
      </c>
      <c r="C12" s="101"/>
      <c r="D12" s="101"/>
      <c r="E12" s="101"/>
      <c r="F12" s="101"/>
      <c r="G12" s="102"/>
      <c r="H12" s="134"/>
      <c r="I12" s="26">
        <v>1</v>
      </c>
      <c r="J12" s="23" t="s">
        <v>77</v>
      </c>
      <c r="K12" s="26">
        <v>6</v>
      </c>
      <c r="L12" s="23" t="s">
        <v>95</v>
      </c>
      <c r="M12" s="6">
        <f>IF($I$11="知力",基本!$H$36,基本!$H$18)</f>
        <v>10</v>
      </c>
    </row>
    <row r="13" spans="1:13">
      <c r="A13" s="41"/>
      <c r="B13" s="100" t="s">
        <v>107</v>
      </c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 ht="17.25">
      <c r="A14" s="41"/>
      <c r="B14" s="142" t="str">
        <f>"　　　　　　　      　　追加ダメージ：" &amp; $M$12+IF($I15="光輝",3,0)+$I$7 &amp; "+" &amp; $I$12 &amp; "d" &amp; $K$12 &amp; "　呪い：" &amp; $M$12+IF($I15="光輝",3,0)+$I$7 &amp; "+" &amp; $I$12 &amp; "d" &amp; $K$12 &amp; "+" &amp; $I$14 &amp; "d"&amp; $K$14</f>
        <v>　　　　　　　      　　追加ダメージ：13+1d6　呪い：13+1d6+2d8</v>
      </c>
      <c r="C14" s="143"/>
      <c r="D14" s="143"/>
      <c r="E14" s="143"/>
      <c r="F14" s="143"/>
      <c r="G14" s="144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156</v>
      </c>
    </row>
    <row r="16" spans="1:13" ht="14.25" thickBot="1">
      <c r="A16" s="35" t="s">
        <v>86</v>
      </c>
      <c r="E16" s="4"/>
    </row>
    <row r="17" spans="1:11" ht="18.75" customHeight="1" thickBot="1">
      <c r="A17" s="112" t="str">
        <f>$B$2</f>
        <v>ダイア・レイディアンス</v>
      </c>
      <c r="B17" s="113"/>
      <c r="C17" s="114"/>
      <c r="D17" s="7" t="s">
        <v>4</v>
      </c>
      <c r="E17" s="77" t="s">
        <v>3</v>
      </c>
      <c r="F17" s="78" t="s">
        <v>59</v>
      </c>
      <c r="G17" s="17" t="s">
        <v>60</v>
      </c>
      <c r="H17" s="36"/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 ※</v>
      </c>
      <c r="E18" s="9" t="str">
        <f>$M$10+2+$I$6 &amp; "+1d20" &amp; IF($I$4=1," ※","")</f>
        <v>18+1d20 ※</v>
      </c>
      <c r="F18" s="9" t="str">
        <f>$M$10+$I$6+3 &amp; "+1d20" &amp; " ※"</f>
        <v>19+1d20 ※</v>
      </c>
      <c r="G18" s="68" t="str">
        <f>$M$10+$I$6+5 &amp; "+1d20" &amp; " ※"</f>
        <v>21+1d20 ※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13+1d6</v>
      </c>
      <c r="E19" s="11" t="str">
        <f>$M$12+IF($I15="光輝",3,0)+$I$7 &amp; "+" &amp; $I$12 &amp; "d" &amp; $K$12</f>
        <v>13+1d6</v>
      </c>
      <c r="F19" s="11" t="str">
        <f>$M$12+IF($I15="光輝",3,0)+$I$7&amp;"+"&amp;$I$12&amp;"d"&amp;$K$12 &amp; IF($I$5=1," ★","")</f>
        <v>13+1d6 ★</v>
      </c>
      <c r="G19" s="69" t="str">
        <f>$M$12+IF($I15="光輝",3,0)+$I$7 &amp; "+" &amp; $I$12 &amp; "d" &amp; $K$12 &amp; IF($I$5=1," ★","")</f>
        <v>13+1d6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13+1d6+2d8</v>
      </c>
      <c r="E20" s="16" t="str">
        <f>$M$12+IF($I15="光輝",3,0)+$I$7 &amp; "+" &amp; $I$12 &amp; "d" &amp; $K$12 &amp; "+" &amp; $I$14 &amp; "d"&amp; $K$14</f>
        <v>13+1d6+2d8</v>
      </c>
      <c r="F20" s="16" t="str">
        <f>$M$12+IF($I15="光輝",3,0)+$I$7 &amp; "+" &amp; $I$12 &amp; "d" &amp; $K$12 &amp; "+" &amp; $I$14 &amp; "d"&amp; $K$14 &amp; IF($I$5=1," ★","")</f>
        <v>13+1d6+2d8 ★</v>
      </c>
      <c r="G20" s="70" t="str">
        <f>$M$12+IF($I15="光輝",3,0)+$I$7 &amp; "+" &amp; $I$12 &amp; "d" &amp; $K$12 &amp; "+" &amp; $I$14 &amp; "d"&amp; $K$14 &amp; IF($I$5=1," ★","")</f>
        <v>13+1d6+2d8 ★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19+3d10</v>
      </c>
      <c r="E21" s="14" t="str">
        <f>($I$12*$K$12)+$M$12+IF($I15="光輝",3,0)+$I$7 &amp; "+" &amp; $I$13 &amp; "d" &amp; $K$13</f>
        <v>19+3d10</v>
      </c>
      <c r="F21" s="14" t="str">
        <f>($I$12*$K$12)+$M$12+IF($I15="光輝",3,0)+$I$7 &amp; "+" &amp; $I$13 &amp; "d" &amp; $K$13 &amp; IF($I$5=1," ★","")</f>
        <v>19+3d10 ★</v>
      </c>
      <c r="G21" s="71" t="str">
        <f>($I$12*$K$12)+$M$12+IF($I15="光輝",3,0)+$I$7 &amp; "+" &amp; $I$13 &amp; "d" &amp; $K$13 &amp; IF($I$5=1," ★","")</f>
        <v>19+3d10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35+3d10</v>
      </c>
      <c r="E22" s="15" t="str">
        <f>($I$12*$K$12)+$M$12+IF($I15="光輝",3,0)+$I$7 + ($I$14*$K$14) &amp; "+" &amp; $I$13 &amp; "d" &amp; $K$13</f>
        <v>35+3d10</v>
      </c>
      <c r="F22" s="15" t="str">
        <f>($I$12*$K$12)+$M$12+IF($I15="光輝",3,0)+$I$7 + ($I$14*$K$14) &amp; "+" &amp; $I$13 &amp; "d" &amp; $K$13 &amp; IF($I$5=1," ★","")</f>
        <v>35+3d10 ★</v>
      </c>
      <c r="G22" s="72" t="str">
        <f>($I$12*$K$12)+$M$12+IF($I15="光輝",3,0)+$I$7 + ($I$14*$K$14) &amp; "+" &amp; $I$13 &amp; "d" &amp; $K$13 &amp; IF($I$5=1," ★","")</f>
        <v>35+3d10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 ※</v>
      </c>
      <c r="E23" s="9" t="str">
        <f>$M$10+$I$6+3 &amp; "+1d20" &amp; IF($I$4=1," ※","")</f>
        <v>19+1d20 ※</v>
      </c>
      <c r="F23" s="9" t="str">
        <f>$M$10+$I$6+4 &amp; "+1d20" &amp; " ※"</f>
        <v>20+1d20 ※</v>
      </c>
      <c r="G23" s="68" t="str">
        <f>$M$10+$I$6+5+1 &amp; "+1d20" &amp; " ※"</f>
        <v>22+1d20 ※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18+1d6</v>
      </c>
      <c r="E24" s="11" t="str">
        <f>$M$12+IF($I15="光輝",3,0)+$I$7+5 &amp; "+" &amp; $I$12 &amp; $J$12 &amp; $K$12</f>
        <v>18+1d6</v>
      </c>
      <c r="F24" s="11" t="str">
        <f>$M$12+IF($I15="光輝",3,0)+$I$7+5 &amp; "+" &amp; $I$12 &amp; $J$12 &amp; $K$12 &amp; IF($I$5=1," ★","")</f>
        <v>18+1d6 ★</v>
      </c>
      <c r="G24" s="69" t="str">
        <f>$M$12+IF($I15="光輝",3,0)+$I$7+5 &amp; "+" &amp; $I$12 &amp; $J$12 &amp; $K$12 &amp; IF($I$5=1," ★","")</f>
        <v>18+1d6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18+1d6+2d8</v>
      </c>
      <c r="E25" s="16" t="str">
        <f>$M$12+IF($I15="光輝",3,0)+$I$7+5 &amp; "+" &amp; $I$12 &amp; "d" &amp; $K$12 &amp; "+" &amp; $I$14 &amp; "d"&amp; $K$14</f>
        <v>18+1d6+2d8</v>
      </c>
      <c r="F25" s="16" t="str">
        <f>$M$12+IF($I15="光輝",3,0)+$I$7+5 &amp; "+" &amp; $I$12 &amp; "d" &amp; $K$12 &amp; "+" &amp; $I$14 &amp; "d"&amp; $K$14 &amp; IF($I$5=1," ★","")</f>
        <v>18+1d6+2d8 ★</v>
      </c>
      <c r="G25" s="70" t="str">
        <f>$M$12+IF($I15="光輝",3,0)+$I$7+5 &amp; "+" &amp; $I$12 &amp; "d" &amp; $K$12 &amp; "+" &amp; $I$14 &amp; "d"&amp; $K$14 &amp; IF($I$5=1," ★","")</f>
        <v>18+1d6+2d8 ★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24+3d10</v>
      </c>
      <c r="E26" s="14" t="str">
        <f>($I$12*$K$12)+5+$M$12+IF($I15="光輝",3,0)+$I$7 &amp; "+" &amp; $I$13 &amp; "d" &amp; $K$13</f>
        <v>24+3d10</v>
      </c>
      <c r="F26" s="14" t="str">
        <f>($I$12*$K$12)+5+$M$12+IF($I15="光輝",3,0)+$I$7 &amp; "+" &amp; $I$13 &amp; "d" &amp; $K$13 &amp; IF($I$5=1," ★","")</f>
        <v>24+3d10 ★</v>
      </c>
      <c r="G26" s="71" t="str">
        <f>($I$12*$K$12)+5+$M$12+IF($I15="光輝",3,0)+$I$7 &amp; "+" &amp; $I$13 &amp; "d" &amp; $K$13 &amp; IF($I$5=1," ★","")</f>
        <v>24+3d10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40+3d10</v>
      </c>
      <c r="E27" s="15" t="str">
        <f>($I$12*$K$12)+5+$M$12+IF($I15="光輝",3,0)+$I$7 + ($I$14*$K$14) &amp; "+" &amp; $I$13 &amp; "d" &amp; $K$13</f>
        <v>40+3d10</v>
      </c>
      <c r="F27" s="15" t="str">
        <f>($I$12*$K$12)+5+$M$12+IF($I15="光輝",3,0)+$I$7 + ($I$14*$K$14) &amp; "+" &amp; $I$13 &amp; "d" &amp; $K$13 &amp; IF($I$5=1," ★","")</f>
        <v>40+3d10 ★</v>
      </c>
      <c r="G27" s="72" t="str">
        <f>($I$12*$K$12)+5+$M$12+IF($I15="光輝",3,0)+$I$7 + ($I$14*$K$14) &amp; "+" &amp; $I$13 &amp; "d" &amp; $K$13 &amp; IF($I$5=1," ★","")</f>
        <v>40+3d10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192</v>
      </c>
      <c r="B35" s="101"/>
      <c r="C35" s="101"/>
      <c r="D35" s="101"/>
      <c r="E35" s="101"/>
      <c r="F35" s="101"/>
      <c r="G35" s="102"/>
    </row>
    <row r="36" spans="1:7">
      <c r="A36" s="100" t="s">
        <v>194</v>
      </c>
      <c r="B36" s="101"/>
      <c r="C36" s="101"/>
      <c r="D36" s="101"/>
      <c r="E36" s="101"/>
      <c r="F36" s="101"/>
      <c r="G36" s="102"/>
    </row>
    <row r="37" spans="1:7">
      <c r="A37" s="100" t="s">
        <v>195</v>
      </c>
      <c r="B37" s="101"/>
      <c r="C37" s="101"/>
      <c r="D37" s="101"/>
      <c r="E37" s="101"/>
      <c r="F37" s="101"/>
      <c r="G37" s="102"/>
    </row>
    <row r="38" spans="1:7">
      <c r="A38" s="100" t="s">
        <v>196</v>
      </c>
      <c r="B38" s="101"/>
      <c r="C38" s="101"/>
      <c r="D38" s="101"/>
      <c r="E38" s="101"/>
      <c r="F38" s="101"/>
      <c r="G38" s="102"/>
    </row>
    <row r="39" spans="1:7">
      <c r="A39" s="100"/>
      <c r="B39" s="101"/>
      <c r="C39" s="101"/>
      <c r="D39" s="101"/>
      <c r="E39" s="101"/>
      <c r="F39" s="101"/>
      <c r="G39" s="102"/>
    </row>
    <row r="40" spans="1:7">
      <c r="A40" s="100"/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/>
      <c r="B43" s="104"/>
      <c r="C43" s="104"/>
      <c r="D43" s="104"/>
      <c r="E43" s="104"/>
      <c r="F43" s="104"/>
      <c r="G43" s="105"/>
    </row>
    <row r="44" spans="1:7" ht="21">
      <c r="A44" s="91" t="s">
        <v>43</v>
      </c>
      <c r="B44" s="92">
        <f>$B$1</f>
        <v>1</v>
      </c>
      <c r="C44" s="93" t="s">
        <v>61</v>
      </c>
      <c r="D44" s="94" t="str">
        <f>$E$1</f>
        <v>無限回</v>
      </c>
      <c r="E44" s="125" t="str">
        <f>$B$2</f>
        <v>ダイア・レイディアンス</v>
      </c>
      <c r="F44" s="126"/>
      <c r="G44" s="127"/>
    </row>
  </sheetData>
  <mergeCells count="40">
    <mergeCell ref="E44:G44"/>
    <mergeCell ref="H11:H12"/>
    <mergeCell ref="A17:C17"/>
    <mergeCell ref="A18:A22"/>
    <mergeCell ref="B19:B20"/>
    <mergeCell ref="B21:B22"/>
    <mergeCell ref="B11:G11"/>
    <mergeCell ref="B12:G12"/>
    <mergeCell ref="A36:G36"/>
    <mergeCell ref="B13:G13"/>
    <mergeCell ref="B14:G14"/>
    <mergeCell ref="B15:G15"/>
    <mergeCell ref="A28:G28"/>
    <mergeCell ref="A29:G29"/>
    <mergeCell ref="A30:G30"/>
    <mergeCell ref="A23:A27"/>
    <mergeCell ref="B9:G9"/>
    <mergeCell ref="B10:G10"/>
    <mergeCell ref="B1:C1"/>
    <mergeCell ref="F1:G1"/>
    <mergeCell ref="B2:G2"/>
    <mergeCell ref="B4:G4"/>
    <mergeCell ref="B5:G5"/>
    <mergeCell ref="B6:D6"/>
    <mergeCell ref="B7:G7"/>
    <mergeCell ref="B8:G8"/>
    <mergeCell ref="B24:B25"/>
    <mergeCell ref="B26:B27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19" priority="3" operator="lessThan">
      <formula>9</formula>
    </cfRule>
  </conditionalFormatting>
  <conditionalFormatting sqref="F6">
    <cfRule type="cellIs" dxfId="18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31" t="s">
        <v>43</v>
      </c>
      <c r="B1" s="129">
        <v>1</v>
      </c>
      <c r="C1" s="130"/>
      <c r="D1" s="33" t="s">
        <v>61</v>
      </c>
      <c r="E1" s="32" t="s">
        <v>62</v>
      </c>
      <c r="F1" s="131"/>
      <c r="G1" s="132"/>
      <c r="H1" s="36" t="s">
        <v>96</v>
      </c>
    </row>
    <row r="2" spans="1:13" ht="24.75" customHeight="1">
      <c r="A2" s="33" t="s">
        <v>0</v>
      </c>
      <c r="B2" s="128" t="s">
        <v>53</v>
      </c>
      <c r="C2" s="128"/>
      <c r="D2" s="128"/>
      <c r="E2" s="128"/>
      <c r="F2" s="128"/>
      <c r="G2" s="128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108</v>
      </c>
      <c r="C4" s="136"/>
      <c r="D4" s="136"/>
      <c r="E4" s="136"/>
      <c r="F4" s="136"/>
      <c r="G4" s="137"/>
      <c r="H4" s="23" t="s">
        <v>80</v>
      </c>
      <c r="I4" s="26">
        <v>0</v>
      </c>
    </row>
    <row r="5" spans="1:13">
      <c r="A5" s="39" t="s">
        <v>58</v>
      </c>
      <c r="B5" s="135" t="s">
        <v>109</v>
      </c>
      <c r="C5" s="136"/>
      <c r="D5" s="136"/>
      <c r="E5" s="136"/>
      <c r="F5" s="136"/>
      <c r="G5" s="137"/>
      <c r="H5" s="23" t="s">
        <v>81</v>
      </c>
      <c r="I5" s="26">
        <v>0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10</v>
      </c>
      <c r="H6" s="58" t="s">
        <v>153</v>
      </c>
      <c r="I6" s="57">
        <v>1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8" t="s">
        <v>110</v>
      </c>
      <c r="C8" s="139"/>
      <c r="D8" s="139"/>
      <c r="E8" s="139"/>
      <c r="F8" s="139"/>
      <c r="G8" s="140"/>
      <c r="H8" s="23" t="s">
        <v>75</v>
      </c>
      <c r="I8" s="26" t="s">
        <v>76</v>
      </c>
      <c r="J8" s="26">
        <v>10</v>
      </c>
    </row>
    <row r="9" spans="1:13">
      <c r="A9" s="42" t="s">
        <v>16</v>
      </c>
      <c r="B9" s="138" t="s">
        <v>111</v>
      </c>
      <c r="C9" s="139"/>
      <c r="D9" s="139"/>
      <c r="E9" s="139"/>
      <c r="F9" s="139"/>
      <c r="G9" s="140"/>
      <c r="H9" s="3"/>
      <c r="I9" s="36" t="s">
        <v>97</v>
      </c>
      <c r="K9" s="36" t="s">
        <v>186</v>
      </c>
    </row>
    <row r="10" spans="1:13" ht="14.25">
      <c r="A10" s="45"/>
      <c r="B10" s="100" t="s">
        <v>166</v>
      </c>
      <c r="C10" s="101"/>
      <c r="D10" s="101"/>
      <c r="E10" s="101"/>
      <c r="F10" s="101"/>
      <c r="G10" s="102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6"/>
      <c r="B11" s="103" t="s">
        <v>112</v>
      </c>
      <c r="C11" s="104"/>
      <c r="D11" s="104"/>
      <c r="E11" s="104"/>
      <c r="F11" s="104"/>
      <c r="G11" s="105"/>
      <c r="H11" s="145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2" t="s">
        <v>18</v>
      </c>
      <c r="B12" s="100" t="s">
        <v>165</v>
      </c>
      <c r="C12" s="101"/>
      <c r="D12" s="101"/>
      <c r="E12" s="101"/>
      <c r="F12" s="101"/>
      <c r="G12" s="102"/>
      <c r="H12" s="146"/>
      <c r="I12" s="26">
        <v>1</v>
      </c>
      <c r="J12" s="23" t="s">
        <v>77</v>
      </c>
      <c r="K12" s="26">
        <v>8</v>
      </c>
      <c r="L12" s="23" t="s">
        <v>95</v>
      </c>
      <c r="M12" s="6">
        <f>IF($I$11="知力",基本!$H$36,基本!$H$18)</f>
        <v>10</v>
      </c>
    </row>
    <row r="13" spans="1:13">
      <c r="A13" s="41"/>
      <c r="B13" s="100"/>
      <c r="C13" s="101"/>
      <c r="D13" s="101"/>
      <c r="E13" s="101"/>
      <c r="F13" s="101"/>
      <c r="G13" s="102"/>
      <c r="H13" s="44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159</v>
      </c>
    </row>
    <row r="16" spans="1:13" ht="14.25" thickBot="1">
      <c r="A16" s="35" t="s">
        <v>86</v>
      </c>
      <c r="E16" s="4"/>
    </row>
    <row r="17" spans="1:11" ht="18.75" customHeight="1" thickBot="1">
      <c r="A17" s="112" t="str">
        <f>$B$2</f>
        <v>ドラゴンフロスト</v>
      </c>
      <c r="B17" s="113"/>
      <c r="C17" s="114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17+1d20</v>
      </c>
      <c r="E18" s="9" t="str">
        <f>$M$10+2+$I$6 &amp; "+1d20" &amp; IF($I$4=1," ※","")</f>
        <v>19+1d20</v>
      </c>
      <c r="F18" s="9" t="str">
        <f>$M$10+$I$6+3 &amp; "+1d20" &amp; IF($I$4=1," ※","")</f>
        <v>20+1d20</v>
      </c>
      <c r="G18" s="68" t="str">
        <f>$M$10+$I$6+5 &amp; "+1d20" &amp;  IF($I$4=1," ※","")</f>
        <v>22+1d20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10+1d8</v>
      </c>
      <c r="E19" s="11" t="str">
        <f>$M$12+IF($I15="光輝",3,0)+$I$7 &amp; "+" &amp; $I$12 &amp; "d" &amp; $K$12</f>
        <v>10+1d8</v>
      </c>
      <c r="F19" s="11" t="str">
        <f>$M$12+IF($I15="光輝",3,0)+$I$7&amp;"+"&amp;$I$12&amp;"d"&amp;$K$12 &amp; IF($I$5=1," ★","")</f>
        <v>10+1d8</v>
      </c>
      <c r="G19" s="69" t="str">
        <f>$M$12+IF($I15="光輝",3,0)+$I$7 &amp; "+" &amp; $I$12 &amp; "d" &amp; $K$12 &amp; IF($I$5=1," ★","")</f>
        <v>10+1d8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10+1d8+2d8</v>
      </c>
      <c r="E20" s="16" t="str">
        <f>$M$12+IF($I15="光輝",3,0)+$I$7 &amp; "+" &amp; $I$12 &amp; "d" &amp; $K$12 &amp; "+" &amp; $I$14 &amp; "d"&amp; $K$14</f>
        <v>10+1d8+2d8</v>
      </c>
      <c r="F20" s="16" t="str">
        <f>$M$12+IF($I15="光輝",3,0)+$I$7 &amp; "+" &amp; $I$12 &amp; "d" &amp; $K$12 &amp; "+" &amp; $I$14 &amp; "d"&amp; $K$14 &amp; IF($I$5=1," ★","")</f>
        <v>10+1d8+2d8</v>
      </c>
      <c r="G20" s="70" t="str">
        <f>$M$12+IF($I15="光輝",3,0)+$I$7 &amp; "+" &amp; $I$12 &amp; "d" &amp; $K$12 &amp; "+" &amp; $I$14 &amp; "d"&amp; $K$14 &amp; IF($I$5=1," ★","")</f>
        <v>10+1d8+2d8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18+3d10</v>
      </c>
      <c r="E21" s="14" t="str">
        <f>($I$12*$K$12)+$M$12+IF($I15="光輝",3,0)+$I$7 &amp; "+" &amp; $I$13 &amp; "d" &amp; $K$13</f>
        <v>18+3d10</v>
      </c>
      <c r="F21" s="14" t="str">
        <f>($I$12*$K$12)+$M$12+IF($I15="光輝",3,0)+$I$7 &amp; "+" &amp; $I$13 &amp; "d" &amp; $K$13 &amp; IF($I$5=1," ★","")</f>
        <v>18+3d10</v>
      </c>
      <c r="G21" s="71" t="str">
        <f>($I$12*$K$12)+$M$12+IF($I15="光輝",3,0)+$I$7 &amp; "+" &amp; $I$13 &amp; "d" &amp; $K$13 &amp; IF($I$5=1," ★","")</f>
        <v>18+3d10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34+3d10</v>
      </c>
      <c r="E22" s="15" t="str">
        <f>($I$12*$K$12)+$M$12+IF($I15="光輝",3,0)+$I$7 + ($I$14*$K$14) &amp; "+" &amp; $I$13 &amp; "d" &amp; $K$13</f>
        <v>34+3d10</v>
      </c>
      <c r="F22" s="15" t="str">
        <f>($I$12*$K$12)+$M$12+IF($I15="光輝",3,0)+$I$7 + ($I$14*$K$14) &amp; "+" &amp; $I$13 &amp; "d" &amp; $K$13 &amp; IF($I$5=1," ★","")</f>
        <v>34+3d10</v>
      </c>
      <c r="G22" s="72" t="str">
        <f>($I$12*$K$12)+$M$12+IF($I15="光輝",3,0)+$I$7 + ($I$14*$K$14) &amp; "+" &amp; $I$13 &amp; "d" &amp; $K$13 &amp; IF($I$5=1," ★","")</f>
        <v>34+3d10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18+1d20</v>
      </c>
      <c r="E23" s="9" t="str">
        <f>$M$10+$I$6+3 &amp; "+1d20" &amp; IF($I$4=1," ※","")</f>
        <v>20+1d20</v>
      </c>
      <c r="F23" s="9" t="str">
        <f>$M$10+$I$6+4 &amp; "+1d20" &amp;  IF($I$4=1," ※","")</f>
        <v>21+1d20</v>
      </c>
      <c r="G23" s="68" t="str">
        <f>$M$10+$I$6+5+1 &amp; "+1d20" &amp;  IF($I$4=1," ※","")</f>
        <v>23+1d20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15+1d8</v>
      </c>
      <c r="E24" s="11" t="str">
        <f>$M$12+IF($I15="光輝",3,0)+$I$7+5 &amp; "+" &amp; $I$12 &amp; $J$12 &amp; $K$12</f>
        <v>15+1d8</v>
      </c>
      <c r="F24" s="11" t="str">
        <f>$M$12+IF($I15="光輝",3,0)+$I$7+5 &amp; "+" &amp; $I$12 &amp; $J$12 &amp; $K$12 &amp; IF($I$5=1," ★","")</f>
        <v>15+1d8</v>
      </c>
      <c r="G24" s="69" t="str">
        <f>$M$12+IF($I15="光輝",3,0)+$I$7+5 &amp; "+" &amp; $I$12 &amp; $J$12 &amp; $K$12 &amp; IF($I$5=1," ★","")</f>
        <v>15+1d8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15+1d8+2d8</v>
      </c>
      <c r="E25" s="16" t="str">
        <f>$M$12+IF($I15="光輝",3,0)+$I$7+5 &amp; "+" &amp; $I$12 &amp; "d" &amp; $K$12 &amp; "+" &amp; $I$14 &amp; "d"&amp; $K$14</f>
        <v>15+1d8+2d8</v>
      </c>
      <c r="F25" s="16" t="str">
        <f>$M$12+IF($I15="光輝",3,0)+$I$7+5 &amp; "+" &amp; $I$12 &amp; "d" &amp; $K$12 &amp; "+" &amp; $I$14 &amp; "d"&amp; $K$14 &amp; IF($I$5=1," ★","")</f>
        <v>15+1d8+2d8</v>
      </c>
      <c r="G25" s="70" t="str">
        <f>$M$12+IF($I15="光輝",3,0)+$I$7+5 &amp; "+" &amp; $I$12 &amp; "d" &amp; $K$12 &amp; "+" &amp; $I$14 &amp; "d"&amp; $K$14 &amp; IF($I$5=1," ★","")</f>
        <v>15+1d8+2d8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23+3d10</v>
      </c>
      <c r="E26" s="14" t="str">
        <f>($I$12*$K$12)+5+$M$12+IF($I15="光輝",3,0)+$I$7 &amp; "+" &amp; $I$13 &amp; "d" &amp; $K$13</f>
        <v>23+3d10</v>
      </c>
      <c r="F26" s="14" t="str">
        <f>($I$12*$K$12)+5+$M$12+IF($I15="光輝",3,0)+$I$7 &amp; "+" &amp; $I$13 &amp; "d" &amp; $K$13 &amp; IF($I$5=1," ★","")</f>
        <v>23+3d10</v>
      </c>
      <c r="G26" s="71" t="str">
        <f>($I$12*$K$12)+5+$M$12+IF($I15="光輝",3,0)+$I$7 &amp; "+" &amp; $I$13 &amp; "d" &amp; $K$13 &amp; IF($I$5=1," ★","")</f>
        <v>23+3d10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39+3d10</v>
      </c>
      <c r="E27" s="15" t="str">
        <f>($I$12*$K$12)+5+$M$12+IF($I15="光輝",3,0)+$I$7 + ($I$14*$K$14) &amp; "+" &amp; $I$13 &amp; "d" &amp; $K$13</f>
        <v>39+3d10</v>
      </c>
      <c r="F27" s="15" t="str">
        <f>($I$12*$K$12)+5+$M$12+IF($I15="光輝",3,0)+$I$7 + ($I$14*$K$14) &amp; "+" &amp; $I$13 &amp; "d" &amp; $K$13 &amp; IF($I$5=1," ★","")</f>
        <v>39+3d10</v>
      </c>
      <c r="G27" s="72" t="str">
        <f>($I$12*$K$12)+5+$M$12+IF($I15="光輝",3,0)+$I$7 + ($I$14*$K$14) &amp; "+" &amp; $I$13 &amp; "d" &amp; $K$13 &amp; IF($I$5=1," ★","")</f>
        <v>39+3d10</v>
      </c>
      <c r="I27"/>
      <c r="J27"/>
      <c r="K27"/>
    </row>
    <row r="28" spans="1:11" ht="24" customHeight="1">
      <c r="A28" s="111"/>
      <c r="B28" s="111"/>
      <c r="C28" s="111"/>
      <c r="D28" s="111"/>
      <c r="E28" s="111"/>
      <c r="F28" s="111"/>
      <c r="G28" s="111"/>
      <c r="I28"/>
      <c r="J28"/>
      <c r="K28"/>
    </row>
    <row r="29" spans="1:11">
      <c r="A29" s="107"/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/>
      <c r="B30" s="106"/>
      <c r="C30" s="106"/>
      <c r="D30" s="106"/>
      <c r="E30" s="106"/>
      <c r="F30" s="106"/>
      <c r="G30" s="106"/>
      <c r="I30"/>
      <c r="J30"/>
      <c r="K30"/>
    </row>
    <row r="31" spans="1:11">
      <c r="A31" s="107"/>
      <c r="B31" s="107"/>
      <c r="C31" s="107"/>
      <c r="D31" s="107"/>
      <c r="E31" s="107"/>
      <c r="F31" s="107"/>
      <c r="G31" s="107"/>
    </row>
    <row r="32" spans="1:11">
      <c r="A32" s="104"/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197</v>
      </c>
      <c r="B35" s="101"/>
      <c r="C35" s="101"/>
      <c r="D35" s="101"/>
      <c r="E35" s="101"/>
      <c r="F35" s="101"/>
      <c r="G35" s="102"/>
    </row>
    <row r="36" spans="1:7">
      <c r="A36" s="100" t="s">
        <v>198</v>
      </c>
      <c r="B36" s="101"/>
      <c r="C36" s="101"/>
      <c r="D36" s="101"/>
      <c r="E36" s="101"/>
      <c r="F36" s="101"/>
      <c r="G36" s="102"/>
    </row>
    <row r="37" spans="1:7">
      <c r="A37" s="100" t="s">
        <v>199</v>
      </c>
      <c r="B37" s="101"/>
      <c r="C37" s="101"/>
      <c r="D37" s="101"/>
      <c r="E37" s="101"/>
      <c r="F37" s="101"/>
      <c r="G37" s="102"/>
    </row>
    <row r="38" spans="1:7">
      <c r="A38" s="100" t="s">
        <v>200</v>
      </c>
      <c r="B38" s="101"/>
      <c r="C38" s="101"/>
      <c r="D38" s="101"/>
      <c r="E38" s="101"/>
      <c r="F38" s="101"/>
      <c r="G38" s="102"/>
    </row>
    <row r="39" spans="1:7">
      <c r="A39" s="100" t="s">
        <v>201</v>
      </c>
      <c r="B39" s="101"/>
      <c r="C39" s="101"/>
      <c r="D39" s="101"/>
      <c r="E39" s="101"/>
      <c r="F39" s="101"/>
      <c r="G39" s="102"/>
    </row>
    <row r="40" spans="1:7">
      <c r="A40" s="100" t="s">
        <v>202</v>
      </c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203</v>
      </c>
      <c r="B43" s="104"/>
      <c r="C43" s="104"/>
      <c r="D43" s="104"/>
      <c r="E43" s="104"/>
      <c r="F43" s="104"/>
      <c r="G43" s="105"/>
    </row>
    <row r="44" spans="1:7" ht="21">
      <c r="A44" s="91" t="s">
        <v>43</v>
      </c>
      <c r="B44" s="92">
        <f>$B$1</f>
        <v>1</v>
      </c>
      <c r="C44" s="93" t="s">
        <v>61</v>
      </c>
      <c r="D44" s="94" t="str">
        <f>$E$1</f>
        <v>無限回</v>
      </c>
      <c r="E44" s="125" t="str">
        <f>$B$2</f>
        <v>ドラゴンフロスト</v>
      </c>
      <c r="F44" s="126"/>
      <c r="G44" s="127"/>
    </row>
  </sheetData>
  <mergeCells count="40">
    <mergeCell ref="E44:G44"/>
    <mergeCell ref="H11:H12"/>
    <mergeCell ref="A17:C17"/>
    <mergeCell ref="A18:A22"/>
    <mergeCell ref="B19:B20"/>
    <mergeCell ref="B21:B22"/>
    <mergeCell ref="B11:G11"/>
    <mergeCell ref="B12:G12"/>
    <mergeCell ref="A36:G36"/>
    <mergeCell ref="B13:G13"/>
    <mergeCell ref="B14:G14"/>
    <mergeCell ref="B15:G15"/>
    <mergeCell ref="A28:G28"/>
    <mergeCell ref="A29:G29"/>
    <mergeCell ref="A30:G30"/>
    <mergeCell ref="A23:A27"/>
    <mergeCell ref="B9:G9"/>
    <mergeCell ref="B10:G10"/>
    <mergeCell ref="B1:C1"/>
    <mergeCell ref="F1:G1"/>
    <mergeCell ref="B2:G2"/>
    <mergeCell ref="B4:G4"/>
    <mergeCell ref="B5:G5"/>
    <mergeCell ref="B6:D6"/>
    <mergeCell ref="B7:G7"/>
    <mergeCell ref="B8:G8"/>
    <mergeCell ref="B24:B25"/>
    <mergeCell ref="B26:B27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17" priority="3" operator="lessThan">
      <formula>9</formula>
    </cfRule>
  </conditionalFormatting>
  <conditionalFormatting sqref="F6">
    <cfRule type="cellIs" dxfId="16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47" t="s">
        <v>43</v>
      </c>
      <c r="B1" s="147">
        <v>1</v>
      </c>
      <c r="C1" s="148"/>
      <c r="D1" s="48" t="s">
        <v>61</v>
      </c>
      <c r="E1" s="49" t="s">
        <v>114</v>
      </c>
      <c r="F1" s="149"/>
      <c r="G1" s="150"/>
      <c r="H1" s="36" t="s">
        <v>96</v>
      </c>
    </row>
    <row r="2" spans="1:13" ht="24.75" customHeight="1">
      <c r="A2" s="48" t="s">
        <v>0</v>
      </c>
      <c r="B2" s="151" t="s">
        <v>113</v>
      </c>
      <c r="C2" s="151"/>
      <c r="D2" s="151"/>
      <c r="E2" s="151"/>
      <c r="F2" s="151"/>
      <c r="G2" s="151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115</v>
      </c>
      <c r="C4" s="136"/>
      <c r="D4" s="136"/>
      <c r="E4" s="136"/>
      <c r="F4" s="136"/>
      <c r="G4" s="137"/>
      <c r="H4" s="23" t="s">
        <v>80</v>
      </c>
      <c r="I4" s="26">
        <v>1</v>
      </c>
    </row>
    <row r="5" spans="1:13">
      <c r="A5" s="39" t="s">
        <v>58</v>
      </c>
      <c r="B5" s="135" t="s">
        <v>116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5</v>
      </c>
      <c r="H6" s="58" t="s">
        <v>153</v>
      </c>
      <c r="I6" s="57">
        <v>0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117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5</v>
      </c>
    </row>
    <row r="9" spans="1:13">
      <c r="A9" s="42" t="s">
        <v>16</v>
      </c>
      <c r="B9" s="138" t="s">
        <v>118</v>
      </c>
      <c r="C9" s="139"/>
      <c r="D9" s="139"/>
      <c r="E9" s="139"/>
      <c r="F9" s="139"/>
      <c r="G9" s="140"/>
      <c r="H9" s="3"/>
      <c r="I9" s="36" t="s">
        <v>97</v>
      </c>
      <c r="K9" s="36" t="s">
        <v>186</v>
      </c>
    </row>
    <row r="10" spans="1:13">
      <c r="A10" s="41"/>
      <c r="B10" s="100"/>
      <c r="C10" s="101"/>
      <c r="D10" s="101"/>
      <c r="E10" s="101"/>
      <c r="F10" s="101"/>
      <c r="G10" s="102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1"/>
      <c r="B11" s="100" t="s">
        <v>119</v>
      </c>
      <c r="C11" s="101"/>
      <c r="D11" s="101"/>
      <c r="E11" s="101"/>
      <c r="F11" s="101"/>
      <c r="G11" s="102"/>
      <c r="H11" s="133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167</v>
      </c>
      <c r="C12" s="101"/>
      <c r="D12" s="101"/>
      <c r="E12" s="101"/>
      <c r="F12" s="101"/>
      <c r="G12" s="102"/>
      <c r="H12" s="134"/>
      <c r="I12" s="26">
        <v>2</v>
      </c>
      <c r="J12" s="23" t="s">
        <v>77</v>
      </c>
      <c r="K12" s="26">
        <v>8</v>
      </c>
      <c r="L12" s="23" t="s">
        <v>95</v>
      </c>
      <c r="M12" s="6">
        <f>IF($I$11="知力",基本!$H$36,基本!$H$18)</f>
        <v>10</v>
      </c>
    </row>
    <row r="13" spans="1:13">
      <c r="A13" s="41"/>
      <c r="B13" s="100"/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156</v>
      </c>
    </row>
    <row r="16" spans="1:13" ht="14.25" thickBot="1">
      <c r="A16" s="35" t="s">
        <v>86</v>
      </c>
      <c r="E16" s="4"/>
    </row>
    <row r="17" spans="1:11" ht="18.75" customHeight="1" thickBot="1">
      <c r="A17" s="155" t="str">
        <f>$B$2</f>
        <v>グロウ・オヴ・ウルバン</v>
      </c>
      <c r="B17" s="156"/>
      <c r="C17" s="157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 ※</v>
      </c>
      <c r="E18" s="9" t="str">
        <f>$M$10+2+$I$6 &amp; "+1d20" &amp; IF($I$4=1," ※","")</f>
        <v>18+1d20 ※</v>
      </c>
      <c r="F18" s="9" t="str">
        <f>$M$10+$I$6+3 &amp; "+1d20" &amp; " ※"</f>
        <v>19+1d20 ※</v>
      </c>
      <c r="G18" s="68" t="str">
        <f>$M$10+$I$6+5 &amp; "+1d20" &amp; " ※"</f>
        <v>21+1d20 ※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13+2d8</v>
      </c>
      <c r="E19" s="11" t="str">
        <f>$M$12+IF($I15="光輝",3,0)+$I$7 &amp; "+" &amp; $I$12 &amp; "d" &amp; $K$12</f>
        <v>13+2d8</v>
      </c>
      <c r="F19" s="11" t="str">
        <f>$M$12+IF($I15="光輝",3,0)+$I$7&amp;"+"&amp;$I$12&amp;"d"&amp;$K$12 &amp; IF($I$5=1," ★","")</f>
        <v>13+2d8 ★</v>
      </c>
      <c r="G19" s="69" t="str">
        <f>$M$12+IF($I15="光輝",3,0)+$I$7 &amp; "+" &amp; $I$12 &amp; "d" &amp; $K$12 &amp; IF($I$5=1," ★","")</f>
        <v>13+2d8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13+2d8+2d8</v>
      </c>
      <c r="E20" s="16" t="str">
        <f>$M$12+IF($I15="光輝",3,0)+$I$7 &amp; "+" &amp; $I$12 &amp; "d" &amp; $K$12 &amp; "+" &amp; $I$14 &amp; "d"&amp; $K$14</f>
        <v>13+2d8+2d8</v>
      </c>
      <c r="F20" s="16" t="str">
        <f>$M$12+IF($I15="光輝",3,0)+$I$7 &amp; "+" &amp; $I$12 &amp; "d" &amp; $K$12 &amp; "+" &amp; $I$14 &amp; "d"&amp; $K$14 &amp; IF($I$5=1," ★","")</f>
        <v>13+2d8+2d8 ★</v>
      </c>
      <c r="G20" s="70" t="str">
        <f>$M$12+IF($I15="光輝",3,0)+$I$7 &amp; "+" &amp; $I$12 &amp; "d" &amp; $K$12 &amp; "+" &amp; $I$14 &amp; "d"&amp; $K$14 &amp; IF($I$5=1," ★","")</f>
        <v>13+2d8+2d8 ★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29+3d10</v>
      </c>
      <c r="E21" s="14" t="str">
        <f>($I$12*$K$12)+$M$12+IF($I15="光輝",3,0)+$I$7 &amp; "+" &amp; $I$13 &amp; "d" &amp; $K$13</f>
        <v>29+3d10</v>
      </c>
      <c r="F21" s="14" t="str">
        <f>($I$12*$K$12)+$M$12+IF($I15="光輝",3,0)+$I$7 &amp; "+" &amp; $I$13 &amp; "d" &amp; $K$13 &amp; IF($I$5=1," ★","")</f>
        <v>29+3d10 ★</v>
      </c>
      <c r="G21" s="71" t="str">
        <f>($I$12*$K$12)+$M$12+IF($I15="光輝",3,0)+$I$7 &amp; "+" &amp; $I$13 &amp; "d" &amp; $K$13 &amp; IF($I$5=1," ★","")</f>
        <v>29+3d10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45+3d10</v>
      </c>
      <c r="E22" s="15" t="str">
        <f>($I$12*$K$12)+$M$12+IF($I15="光輝",3,0)+$I$7 + ($I$14*$K$14) &amp; "+" &amp; $I$13 &amp; "d" &amp; $K$13</f>
        <v>45+3d10</v>
      </c>
      <c r="F22" s="15" t="str">
        <f>($I$12*$K$12)+$M$12+IF($I15="光輝",3,0)+$I$7 + ($I$14*$K$14) &amp; "+" &amp; $I$13 &amp; "d" &amp; $K$13 &amp; IF($I$5=1," ★","")</f>
        <v>45+3d10 ★</v>
      </c>
      <c r="G22" s="72" t="str">
        <f>($I$12*$K$12)+$M$12+IF($I15="光輝",3,0)+$I$7 + ($I$14*$K$14) &amp; "+" &amp; $I$13 &amp; "d" &amp; $K$13 &amp; IF($I$5=1," ★","")</f>
        <v>45+3d10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 ※</v>
      </c>
      <c r="E23" s="9" t="str">
        <f>$M$10+$I$6+3 &amp; "+1d20" &amp; IF($I$4=1," ※","")</f>
        <v>19+1d20 ※</v>
      </c>
      <c r="F23" s="9" t="str">
        <f>$M$10+$I$6+4 &amp; "+1d20" &amp; " ※"</f>
        <v>20+1d20 ※</v>
      </c>
      <c r="G23" s="68" t="str">
        <f>$M$10+$I$6+5+1 &amp; "+1d20" &amp; " ※"</f>
        <v>22+1d20 ※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18+2d8</v>
      </c>
      <c r="E24" s="11" t="str">
        <f>$M$12+IF($I15="光輝",3,0)+$I$7+5 &amp; "+" &amp; $I$12 &amp; $J$12 &amp; $K$12</f>
        <v>18+2d8</v>
      </c>
      <c r="F24" s="11" t="str">
        <f>$M$12+IF($I15="光輝",3,0)+$I$7+5 &amp; "+" &amp; $I$12 &amp; $J$12 &amp; $K$12 &amp; IF($I$5=1," ★","")</f>
        <v>18+2d8 ★</v>
      </c>
      <c r="G24" s="69" t="str">
        <f>$M$12+IF($I15="光輝",3,0)+$I$7+5 &amp; "+" &amp; $I$12 &amp; $J$12 &amp; $K$12 &amp; IF($I$5=1," ★","")</f>
        <v>18+2d8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18+2d8+2d8</v>
      </c>
      <c r="E25" s="16" t="str">
        <f>$M$12+IF($I15="光輝",3,0)+$I$7+5 &amp; "+" &amp; $I$12 &amp; "d" &amp; $K$12 &amp; "+" &amp; $I$14 &amp; "d"&amp; $K$14</f>
        <v>18+2d8+2d8</v>
      </c>
      <c r="F25" s="16" t="str">
        <f>$M$12+IF($I15="光輝",3,0)+$I$7+5 &amp; "+" &amp; $I$12 &amp; "d" &amp; $K$12 &amp; "+" &amp; $I$14 &amp; "d"&amp; $K$14 &amp; IF($I$5=1," ★","")</f>
        <v>18+2d8+2d8 ★</v>
      </c>
      <c r="G25" s="70" t="str">
        <f>$M$12+IF($I15="光輝",3,0)+$I$7+5 &amp; "+" &amp; $I$12 &amp; "d" &amp; $K$12 &amp; "+" &amp; $I$14 &amp; "d"&amp; $K$14 &amp; IF($I$5=1," ★","")</f>
        <v>18+2d8+2d8 ★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34+3d10</v>
      </c>
      <c r="E26" s="14" t="str">
        <f>($I$12*$K$12)+5+$M$12+IF($I15="光輝",3,0)+$I$7 &amp; "+" &amp; $I$13 &amp; "d" &amp; $K$13</f>
        <v>34+3d10</v>
      </c>
      <c r="F26" s="14" t="str">
        <f>($I$12*$K$12)+5+$M$12+IF($I15="光輝",3,0)+$I$7 &amp; "+" &amp; $I$13 &amp; "d" &amp; $K$13 &amp; IF($I$5=1," ★","")</f>
        <v>34+3d10 ★</v>
      </c>
      <c r="G26" s="71" t="str">
        <f>($I$12*$K$12)+5+$M$12+IF($I15="光輝",3,0)+$I$7 &amp; "+" &amp; $I$13 &amp; "d" &amp; $K$13 &amp; IF($I$5=1," ★","")</f>
        <v>34+3d10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50+3d10</v>
      </c>
      <c r="E27" s="15" t="str">
        <f>($I$12*$K$12)+5+$M$12+IF($I15="光輝",3,0)+$I$7 + ($I$14*$K$14) &amp; "+" &amp; $I$13 &amp; "d" &amp; $K$13</f>
        <v>50+3d10</v>
      </c>
      <c r="F27" s="15" t="str">
        <f>($I$12*$K$12)+5+$M$12+IF($I15="光輝",3,0)+$I$7 + ($I$14*$K$14) &amp; "+" &amp; $I$13 &amp; "d" &amp; $K$13 &amp; IF($I$5=1," ★","")</f>
        <v>50+3d10 ★</v>
      </c>
      <c r="G27" s="72" t="str">
        <f>($I$12*$K$12)+5+$M$12+IF($I15="光輝",3,0)+$I$7 + ($I$14*$K$14) &amp; "+" &amp; $I$13 &amp; "d" &amp; $K$13 &amp; IF($I$5=1," ★","")</f>
        <v>50+3d10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204</v>
      </c>
      <c r="B35" s="101"/>
      <c r="C35" s="101"/>
      <c r="D35" s="101"/>
      <c r="E35" s="101"/>
      <c r="F35" s="101"/>
      <c r="G35" s="102"/>
    </row>
    <row r="36" spans="1:7">
      <c r="A36" s="100" t="s">
        <v>205</v>
      </c>
      <c r="B36" s="101"/>
      <c r="C36" s="101"/>
      <c r="D36" s="101"/>
      <c r="E36" s="101"/>
      <c r="F36" s="101"/>
      <c r="G36" s="102"/>
    </row>
    <row r="37" spans="1:7">
      <c r="A37" s="100" t="s">
        <v>207</v>
      </c>
      <c r="B37" s="101"/>
      <c r="C37" s="101"/>
      <c r="D37" s="101"/>
      <c r="E37" s="101"/>
      <c r="F37" s="101"/>
      <c r="G37" s="102"/>
    </row>
    <row r="38" spans="1:7">
      <c r="A38" s="100" t="s">
        <v>206</v>
      </c>
      <c r="B38" s="101"/>
      <c r="C38" s="101"/>
      <c r="D38" s="101"/>
      <c r="E38" s="101"/>
      <c r="F38" s="101"/>
      <c r="G38" s="102"/>
    </row>
    <row r="39" spans="1:7">
      <c r="A39" s="100" t="s">
        <v>208</v>
      </c>
      <c r="B39" s="101"/>
      <c r="C39" s="101"/>
      <c r="D39" s="101"/>
      <c r="E39" s="101"/>
      <c r="F39" s="101"/>
      <c r="G39" s="102"/>
    </row>
    <row r="40" spans="1:7">
      <c r="A40" s="100" t="s">
        <v>209</v>
      </c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210</v>
      </c>
      <c r="B43" s="104"/>
      <c r="C43" s="104"/>
      <c r="D43" s="104"/>
      <c r="E43" s="104"/>
      <c r="F43" s="104"/>
      <c r="G43" s="105"/>
    </row>
    <row r="44" spans="1:7" ht="21">
      <c r="A44" s="87" t="s">
        <v>43</v>
      </c>
      <c r="B44" s="88">
        <f>$B$1</f>
        <v>1</v>
      </c>
      <c r="C44" s="89" t="s">
        <v>61</v>
      </c>
      <c r="D44" s="90" t="str">
        <f>$E$1</f>
        <v>遭遇毎</v>
      </c>
      <c r="E44" s="152" t="str">
        <f>$B$2</f>
        <v>グロウ・オヴ・ウルバン</v>
      </c>
      <c r="F44" s="153"/>
      <c r="G44" s="154"/>
    </row>
  </sheetData>
  <mergeCells count="40">
    <mergeCell ref="E44:G44"/>
    <mergeCell ref="H11:H12"/>
    <mergeCell ref="A17:C17"/>
    <mergeCell ref="A18:A22"/>
    <mergeCell ref="B19:B20"/>
    <mergeCell ref="B21:B22"/>
    <mergeCell ref="B11:G11"/>
    <mergeCell ref="B12:G12"/>
    <mergeCell ref="A36:G36"/>
    <mergeCell ref="B13:G13"/>
    <mergeCell ref="B14:G14"/>
    <mergeCell ref="B15:G15"/>
    <mergeCell ref="A28:G28"/>
    <mergeCell ref="A29:G29"/>
    <mergeCell ref="A30:G30"/>
    <mergeCell ref="A23:A27"/>
    <mergeCell ref="B9:G9"/>
    <mergeCell ref="B10:G10"/>
    <mergeCell ref="B1:C1"/>
    <mergeCell ref="F1:G1"/>
    <mergeCell ref="B2:G2"/>
    <mergeCell ref="B4:G4"/>
    <mergeCell ref="B5:G5"/>
    <mergeCell ref="B6:D6"/>
    <mergeCell ref="B7:G7"/>
    <mergeCell ref="B8:G8"/>
    <mergeCell ref="B24:B25"/>
    <mergeCell ref="B26:B27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15" priority="3" operator="lessThan">
      <formula>9</formula>
    </cfRule>
  </conditionalFormatting>
  <conditionalFormatting sqref="F6">
    <cfRule type="cellIs" dxfId="14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47" t="s">
        <v>43</v>
      </c>
      <c r="B1" s="147">
        <v>7</v>
      </c>
      <c r="C1" s="148"/>
      <c r="D1" s="48" t="s">
        <v>61</v>
      </c>
      <c r="E1" s="49" t="s">
        <v>114</v>
      </c>
      <c r="F1" s="149"/>
      <c r="G1" s="150"/>
      <c r="H1" s="36" t="s">
        <v>96</v>
      </c>
    </row>
    <row r="2" spans="1:13" ht="24.75" customHeight="1">
      <c r="A2" s="48" t="s">
        <v>0</v>
      </c>
      <c r="B2" s="151" t="s">
        <v>141</v>
      </c>
      <c r="C2" s="151"/>
      <c r="D2" s="151"/>
      <c r="E2" s="151"/>
      <c r="F2" s="151"/>
      <c r="G2" s="151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142</v>
      </c>
      <c r="C4" s="136"/>
      <c r="D4" s="136"/>
      <c r="E4" s="136"/>
      <c r="F4" s="136"/>
      <c r="G4" s="137"/>
      <c r="H4" s="23" t="s">
        <v>80</v>
      </c>
      <c r="I4" s="26">
        <v>1</v>
      </c>
    </row>
    <row r="5" spans="1:13">
      <c r="A5" s="39" t="s">
        <v>58</v>
      </c>
      <c r="B5" s="135" t="s">
        <v>143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10</v>
      </c>
      <c r="H6" s="58" t="s">
        <v>153</v>
      </c>
      <c r="I6" s="57">
        <v>0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144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10</v>
      </c>
    </row>
    <row r="9" spans="1:13">
      <c r="A9" s="42" t="s">
        <v>16</v>
      </c>
      <c r="B9" s="138" t="s">
        <v>145</v>
      </c>
      <c r="C9" s="139"/>
      <c r="D9" s="139"/>
      <c r="E9" s="139"/>
      <c r="F9" s="139"/>
      <c r="G9" s="140"/>
      <c r="H9" s="3"/>
      <c r="I9" s="36" t="s">
        <v>97</v>
      </c>
      <c r="K9" s="36" t="s">
        <v>186</v>
      </c>
    </row>
    <row r="10" spans="1:13">
      <c r="A10" s="41"/>
      <c r="B10" s="100" t="s">
        <v>169</v>
      </c>
      <c r="C10" s="101"/>
      <c r="D10" s="101"/>
      <c r="E10" s="101"/>
      <c r="F10" s="101"/>
      <c r="G10" s="102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1"/>
      <c r="B11" s="100"/>
      <c r="C11" s="101"/>
      <c r="D11" s="101"/>
      <c r="E11" s="101"/>
      <c r="F11" s="101"/>
      <c r="G11" s="102"/>
      <c r="H11" s="133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168</v>
      </c>
      <c r="C12" s="101"/>
      <c r="D12" s="101"/>
      <c r="E12" s="101"/>
      <c r="F12" s="101"/>
      <c r="G12" s="102"/>
      <c r="H12" s="134"/>
      <c r="I12" s="26">
        <v>1</v>
      </c>
      <c r="J12" s="23" t="s">
        <v>77</v>
      </c>
      <c r="K12" s="26">
        <v>6</v>
      </c>
      <c r="L12" s="23" t="s">
        <v>95</v>
      </c>
      <c r="M12" s="6">
        <f>IF($I$11="知力",基本!$H$36,基本!$H$18)</f>
        <v>10</v>
      </c>
    </row>
    <row r="13" spans="1:13">
      <c r="A13" s="41"/>
      <c r="B13" s="100"/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160</v>
      </c>
    </row>
    <row r="16" spans="1:13" ht="14.25" thickBot="1">
      <c r="A16" s="35" t="s">
        <v>86</v>
      </c>
      <c r="E16" s="4"/>
    </row>
    <row r="17" spans="1:11" ht="18.75" customHeight="1" thickBot="1">
      <c r="A17" s="158" t="str">
        <f>$B$2</f>
        <v>ファー・レルム・ファンタズム</v>
      </c>
      <c r="B17" s="159"/>
      <c r="C17" s="160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 ※</v>
      </c>
      <c r="E18" s="9" t="str">
        <f>$M$10+2+$I$6 &amp; "+1d20" &amp; IF($I$4=1," ※","")</f>
        <v>18+1d20 ※</v>
      </c>
      <c r="F18" s="9" t="str">
        <f>$M$10+$I$6+3 &amp; "+1d20" &amp; " ※"</f>
        <v>19+1d20 ※</v>
      </c>
      <c r="G18" s="68" t="str">
        <f>$M$10+$I$6+5 &amp; "+1d20" &amp; " ※"</f>
        <v>21+1d20 ※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10+1d6</v>
      </c>
      <c r="E19" s="11" t="str">
        <f>$M$12+IF($I15="光輝",3,0)+$I$7 &amp; "+" &amp; $I$12 &amp; "d" &amp; $K$12</f>
        <v>10+1d6</v>
      </c>
      <c r="F19" s="11" t="str">
        <f>$M$12+IF($I15="光輝",3,0)+$I$7&amp;"+"&amp;$I$12&amp;"d"&amp;$K$12 &amp; IF($I$5=1," ★","")</f>
        <v>10+1d6 ★</v>
      </c>
      <c r="G19" s="69" t="str">
        <f>$M$12+IF($I15="光輝",3,0)+$I$7 &amp; "+" &amp; $I$12 &amp; "d" &amp; $K$12 &amp; IF($I$5=1," ★","")</f>
        <v>10+1d6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10+1d6+2d8</v>
      </c>
      <c r="E20" s="16" t="str">
        <f>$M$12+IF($I15="光輝",3,0)+$I$7 &amp; "+" &amp; $I$12 &amp; "d" &amp; $K$12 &amp; "+" &amp; $I$14 &amp; "d"&amp; $K$14</f>
        <v>10+1d6+2d8</v>
      </c>
      <c r="F20" s="16" t="str">
        <f>$M$12+IF($I15="光輝",3,0)+$I$7 &amp; "+" &amp; $I$12 &amp; "d" &amp; $K$12 &amp; "+" &amp; $I$14 &amp; "d"&amp; $K$14 &amp; IF($I$5=1," ★","")</f>
        <v>10+1d6+2d8 ★</v>
      </c>
      <c r="G20" s="70" t="str">
        <f>$M$12+IF($I15="光輝",3,0)+$I$7 &amp; "+" &amp; $I$12 &amp; "d" &amp; $K$12 &amp; "+" &amp; $I$14 &amp; "d"&amp; $K$14 &amp; IF($I$5=1," ★","")</f>
        <v>10+1d6+2d8 ★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16+3d10</v>
      </c>
      <c r="E21" s="14" t="str">
        <f>($I$12*$K$12)+$M$12+IF($I15="光輝",3,0)+$I$7 &amp; "+" &amp; $I$13 &amp; "d" &amp; $K$13</f>
        <v>16+3d10</v>
      </c>
      <c r="F21" s="14" t="str">
        <f>($I$12*$K$12)+$M$12+IF($I15="光輝",3,0)+$I$7 &amp; "+" &amp; $I$13 &amp; "d" &amp; $K$13 &amp; IF($I$5=1," ★","")</f>
        <v>16+3d10 ★</v>
      </c>
      <c r="G21" s="71" t="str">
        <f>($I$12*$K$12)+$M$12+IF($I15="光輝",3,0)+$I$7 &amp; "+" &amp; $I$13 &amp; "d" &amp; $K$13 &amp; IF($I$5=1," ★","")</f>
        <v>16+3d10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32+3d10</v>
      </c>
      <c r="E22" s="15" t="str">
        <f>($I$12*$K$12)+$M$12+IF($I15="光輝",3,0)+$I$7 + ($I$14*$K$14) &amp; "+" &amp; $I$13 &amp; "d" &amp; $K$13</f>
        <v>32+3d10</v>
      </c>
      <c r="F22" s="15" t="str">
        <f>($I$12*$K$12)+$M$12+IF($I15="光輝",3,0)+$I$7 + ($I$14*$K$14) &amp; "+" &amp; $I$13 &amp; "d" &amp; $K$13 &amp; IF($I$5=1," ★","")</f>
        <v>32+3d10 ★</v>
      </c>
      <c r="G22" s="72" t="str">
        <f>($I$12*$K$12)+$M$12+IF($I15="光輝",3,0)+$I$7 + ($I$14*$K$14) &amp; "+" &amp; $I$13 &amp; "d" &amp; $K$13 &amp; IF($I$5=1," ★","")</f>
        <v>32+3d10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 ※</v>
      </c>
      <c r="E23" s="9" t="str">
        <f>$M$10+$I$6+3 &amp; "+1d20" &amp; IF($I$4=1," ※","")</f>
        <v>19+1d20 ※</v>
      </c>
      <c r="F23" s="9" t="str">
        <f>$M$10+$I$6+4 &amp; "+1d20" &amp; " ※"</f>
        <v>20+1d20 ※</v>
      </c>
      <c r="G23" s="68" t="str">
        <f>$M$10+$I$6+5+1 &amp; "+1d20" &amp; " ※"</f>
        <v>22+1d20 ※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15+1d6</v>
      </c>
      <c r="E24" s="11" t="str">
        <f>$M$12+IF($I15="光輝",3,0)+$I$7+5 &amp; "+" &amp; $I$12 &amp; $J$12 &amp; $K$12</f>
        <v>15+1d6</v>
      </c>
      <c r="F24" s="11" t="str">
        <f>$M$12+IF($I15="光輝",3,0)+$I$7+5 &amp; "+" &amp; $I$12 &amp; $J$12 &amp; $K$12 &amp; IF($I$5=1," ★","")</f>
        <v>15+1d6 ★</v>
      </c>
      <c r="G24" s="69" t="str">
        <f>$M$12+IF($I15="光輝",3,0)+$I$7+5 &amp; "+" &amp; $I$12 &amp; $J$12 &amp; $K$12 &amp; IF($I$5=1," ★","")</f>
        <v>15+1d6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15+1d6+2d8</v>
      </c>
      <c r="E25" s="16" t="str">
        <f>$M$12+IF($I15="光輝",3,0)+$I$7+5 &amp; "+" &amp; $I$12 &amp; "d" &amp; $K$12 &amp; "+" &amp; $I$14 &amp; "d"&amp; $K$14</f>
        <v>15+1d6+2d8</v>
      </c>
      <c r="F25" s="16" t="str">
        <f>$M$12+IF($I15="光輝",3,0)+$I$7+5 &amp; "+" &amp; $I$12 &amp; "d" &amp; $K$12 &amp; "+" &amp; $I$14 &amp; "d"&amp; $K$14 &amp; IF($I$5=1," ★","")</f>
        <v>15+1d6+2d8 ★</v>
      </c>
      <c r="G25" s="70" t="str">
        <f>$M$12+IF($I15="光輝",3,0)+$I$7+5 &amp; "+" &amp; $I$12 &amp; "d" &amp; $K$12 &amp; "+" &amp; $I$14 &amp; "d"&amp; $K$14 &amp; IF($I$5=1," ★","")</f>
        <v>15+1d6+2d8 ★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21+3d10</v>
      </c>
      <c r="E26" s="14" t="str">
        <f>($I$12*$K$12)+5+$M$12+IF($I15="光輝",3,0)+$I$7 &amp; "+" &amp; $I$13 &amp; "d" &amp; $K$13</f>
        <v>21+3d10</v>
      </c>
      <c r="F26" s="14" t="str">
        <f>($I$12*$K$12)+5+$M$12+IF($I15="光輝",3,0)+$I$7 &amp; "+" &amp; $I$13 &amp; "d" &amp; $K$13 &amp; IF($I$5=1," ★","")</f>
        <v>21+3d10 ★</v>
      </c>
      <c r="G26" s="71" t="str">
        <f>($I$12*$K$12)+5+$M$12+IF($I15="光輝",3,0)+$I$7 &amp; "+" &amp; $I$13 &amp; "d" &amp; $K$13 &amp; IF($I$5=1," ★","")</f>
        <v>21+3d10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37+3d10</v>
      </c>
      <c r="E27" s="15" t="str">
        <f>($I$12*$K$12)+5+$M$12+IF($I15="光輝",3,0)+$I$7 + ($I$14*$K$14) &amp; "+" &amp; $I$13 &amp; "d" &amp; $K$13</f>
        <v>37+3d10</v>
      </c>
      <c r="F27" s="15" t="str">
        <f>($I$12*$K$12)+5+$M$12+IF($I15="光輝",3,0)+$I$7 + ($I$14*$K$14) &amp; "+" &amp; $I$13 &amp; "d" &amp; $K$13 &amp; IF($I$5=1," ★","")</f>
        <v>37+3d10 ★</v>
      </c>
      <c r="G27" s="72" t="str">
        <f>($I$12*$K$12)+5+$M$12+IF($I15="光輝",3,0)+$I$7 + ($I$14*$K$14) &amp; "+" &amp; $I$13 &amp; "d" &amp; $K$13 &amp; IF($I$5=1," ★","")</f>
        <v>37+3d10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211</v>
      </c>
      <c r="B35" s="101"/>
      <c r="C35" s="101"/>
      <c r="D35" s="101"/>
      <c r="E35" s="101"/>
      <c r="F35" s="101"/>
      <c r="G35" s="102"/>
    </row>
    <row r="36" spans="1:7">
      <c r="A36" s="100" t="s">
        <v>212</v>
      </c>
      <c r="B36" s="101"/>
      <c r="C36" s="101"/>
      <c r="D36" s="101"/>
      <c r="E36" s="101"/>
      <c r="F36" s="101"/>
      <c r="G36" s="102"/>
    </row>
    <row r="37" spans="1:7">
      <c r="A37" s="100" t="s">
        <v>213</v>
      </c>
      <c r="B37" s="101"/>
      <c r="C37" s="101"/>
      <c r="D37" s="101"/>
      <c r="E37" s="101"/>
      <c r="F37" s="101"/>
      <c r="G37" s="102"/>
    </row>
    <row r="38" spans="1:7">
      <c r="A38" s="100" t="s">
        <v>214</v>
      </c>
      <c r="B38" s="101"/>
      <c r="C38" s="101"/>
      <c r="D38" s="101"/>
      <c r="E38" s="101"/>
      <c r="F38" s="101"/>
      <c r="G38" s="102"/>
    </row>
    <row r="39" spans="1:7">
      <c r="A39" s="100"/>
      <c r="B39" s="101"/>
      <c r="C39" s="101"/>
      <c r="D39" s="101"/>
      <c r="E39" s="101"/>
      <c r="F39" s="101"/>
      <c r="G39" s="102"/>
    </row>
    <row r="40" spans="1:7">
      <c r="A40" s="100"/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215</v>
      </c>
      <c r="B43" s="104"/>
      <c r="C43" s="104"/>
      <c r="D43" s="104"/>
      <c r="E43" s="104"/>
      <c r="F43" s="104"/>
      <c r="G43" s="105"/>
    </row>
    <row r="44" spans="1:7" ht="21">
      <c r="A44" s="87" t="s">
        <v>43</v>
      </c>
      <c r="B44" s="88">
        <f>$B$1</f>
        <v>7</v>
      </c>
      <c r="C44" s="89" t="s">
        <v>61</v>
      </c>
      <c r="D44" s="90" t="str">
        <f>$E$1</f>
        <v>遭遇毎</v>
      </c>
      <c r="E44" s="152" t="str">
        <f>$B$2</f>
        <v>ファー・レルム・ファンタズム</v>
      </c>
      <c r="F44" s="153"/>
      <c r="G44" s="154"/>
    </row>
  </sheetData>
  <mergeCells count="40">
    <mergeCell ref="E44:G44"/>
    <mergeCell ref="H11:H12"/>
    <mergeCell ref="B10:G10"/>
    <mergeCell ref="B11:G11"/>
    <mergeCell ref="B1:C1"/>
    <mergeCell ref="F1:G1"/>
    <mergeCell ref="B2:G2"/>
    <mergeCell ref="B4:G4"/>
    <mergeCell ref="B5:G5"/>
    <mergeCell ref="B6:D6"/>
    <mergeCell ref="A36:G36"/>
    <mergeCell ref="A23:A27"/>
    <mergeCell ref="B24:B25"/>
    <mergeCell ref="B26:B27"/>
    <mergeCell ref="A28:G28"/>
    <mergeCell ref="A29:G29"/>
    <mergeCell ref="A18:A22"/>
    <mergeCell ref="B19:B20"/>
    <mergeCell ref="B21:B22"/>
    <mergeCell ref="B7:G7"/>
    <mergeCell ref="B8:G8"/>
    <mergeCell ref="B9:G9"/>
    <mergeCell ref="B12:G12"/>
    <mergeCell ref="B13:G13"/>
    <mergeCell ref="B14:G14"/>
    <mergeCell ref="B15:G15"/>
    <mergeCell ref="A17:C17"/>
    <mergeCell ref="A30:G30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13" priority="3" operator="lessThan">
      <formula>9</formula>
    </cfRule>
  </conditionalFormatting>
  <conditionalFormatting sqref="F6">
    <cfRule type="cellIs" dxfId="12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47" t="s">
        <v>43</v>
      </c>
      <c r="B1" s="147">
        <v>11</v>
      </c>
      <c r="C1" s="148"/>
      <c r="D1" s="48" t="s">
        <v>61</v>
      </c>
      <c r="E1" s="49" t="s">
        <v>114</v>
      </c>
      <c r="F1" s="149"/>
      <c r="G1" s="150"/>
      <c r="H1" s="36" t="s">
        <v>96</v>
      </c>
    </row>
    <row r="2" spans="1:13" ht="24.75" customHeight="1">
      <c r="A2" s="48" t="s">
        <v>0</v>
      </c>
      <c r="B2" s="151" t="s">
        <v>146</v>
      </c>
      <c r="C2" s="151"/>
      <c r="D2" s="151"/>
      <c r="E2" s="151"/>
      <c r="F2" s="151"/>
      <c r="G2" s="151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147</v>
      </c>
      <c r="C4" s="136"/>
      <c r="D4" s="136"/>
      <c r="E4" s="136"/>
      <c r="F4" s="136"/>
      <c r="G4" s="137"/>
      <c r="H4" s="23" t="s">
        <v>80</v>
      </c>
      <c r="I4" s="26">
        <v>1</v>
      </c>
    </row>
    <row r="5" spans="1:13">
      <c r="A5" s="39" t="s">
        <v>58</v>
      </c>
      <c r="B5" s="135" t="s">
        <v>116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10</v>
      </c>
      <c r="H6" s="58" t="s">
        <v>153</v>
      </c>
      <c r="I6" s="57">
        <v>0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117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10</v>
      </c>
    </row>
    <row r="9" spans="1:13">
      <c r="A9" s="42" t="s">
        <v>16</v>
      </c>
      <c r="B9" s="138" t="s">
        <v>148</v>
      </c>
      <c r="C9" s="139"/>
      <c r="D9" s="139"/>
      <c r="E9" s="139"/>
      <c r="F9" s="139"/>
      <c r="G9" s="140"/>
      <c r="H9" s="3"/>
      <c r="I9" s="36" t="s">
        <v>97</v>
      </c>
      <c r="K9" s="36" t="s">
        <v>186</v>
      </c>
    </row>
    <row r="10" spans="1:13">
      <c r="A10" s="41"/>
      <c r="B10" s="100" t="s">
        <v>170</v>
      </c>
      <c r="C10" s="101"/>
      <c r="D10" s="101"/>
      <c r="E10" s="101"/>
      <c r="F10" s="101"/>
      <c r="G10" s="102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1"/>
      <c r="B11" s="141" t="s">
        <v>171</v>
      </c>
      <c r="C11" s="101"/>
      <c r="D11" s="101"/>
      <c r="E11" s="101"/>
      <c r="F11" s="101"/>
      <c r="G11" s="102"/>
      <c r="H11" s="133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172</v>
      </c>
      <c r="C12" s="101"/>
      <c r="D12" s="101"/>
      <c r="E12" s="101"/>
      <c r="F12" s="101"/>
      <c r="G12" s="102"/>
      <c r="H12" s="134"/>
      <c r="I12" s="26">
        <v>2</v>
      </c>
      <c r="J12" s="23" t="s">
        <v>77</v>
      </c>
      <c r="K12" s="26">
        <v>10</v>
      </c>
      <c r="L12" s="23" t="s">
        <v>95</v>
      </c>
      <c r="M12" s="6">
        <f>IF($I$11="知力",基本!$H$36,基本!$H$18)</f>
        <v>10</v>
      </c>
    </row>
    <row r="13" spans="1:13">
      <c r="A13" s="41"/>
      <c r="B13" s="100"/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156</v>
      </c>
    </row>
    <row r="16" spans="1:13" ht="14.25" thickBot="1">
      <c r="A16" s="35" t="s">
        <v>86</v>
      </c>
      <c r="E16" s="4"/>
    </row>
    <row r="17" spans="1:11" ht="18.75" customHeight="1" thickBot="1">
      <c r="A17" s="158" t="str">
        <f>$B$2</f>
        <v>トランス・イン・ザ・ガイド・スター</v>
      </c>
      <c r="B17" s="159"/>
      <c r="C17" s="160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 ※</v>
      </c>
      <c r="E18" s="9" t="str">
        <f>$M$10+2+$I$6 &amp; "+1d20" &amp; IF($I$4=1," ※","")</f>
        <v>18+1d20 ※</v>
      </c>
      <c r="F18" s="9" t="str">
        <f>$M$10+$I$6+3 &amp; "+1d20" &amp; " ※"</f>
        <v>19+1d20 ※</v>
      </c>
      <c r="G18" s="68" t="str">
        <f>$M$10+$I$6+5 &amp; "+1d20" &amp; " ※"</f>
        <v>21+1d20 ※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13+2d10</v>
      </c>
      <c r="E19" s="11" t="str">
        <f>$M$12+IF($I15="光輝",3,0)+$I$7 &amp; "+" &amp; $I$12 &amp; "d" &amp; $K$12</f>
        <v>13+2d10</v>
      </c>
      <c r="F19" s="11" t="str">
        <f>$M$12+IF($I15="光輝",3,0)+$I$7&amp;"+"&amp;$I$12&amp;"d"&amp;$K$12 &amp; IF($I$5=1," ★","")</f>
        <v>13+2d10 ★</v>
      </c>
      <c r="G19" s="69" t="str">
        <f>$M$12+IF($I15="光輝",3,0)+$I$7 &amp; "+" &amp; $I$12 &amp; "d" &amp; $K$12 &amp; IF($I$5=1," ★","")</f>
        <v>13+2d10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13+2d10+2d8</v>
      </c>
      <c r="E20" s="16" t="str">
        <f>$M$12+IF($I15="光輝",3,0)+$I$7 &amp; "+" &amp; $I$12 &amp; "d" &amp; $K$12 &amp; "+" &amp; $I$14 &amp; "d"&amp; $K$14</f>
        <v>13+2d10+2d8</v>
      </c>
      <c r="F20" s="16" t="str">
        <f>$M$12+IF($I15="光輝",3,0)+$I$7 &amp; "+" &amp; $I$12 &amp; "d" &amp; $K$12 &amp; "+" &amp; $I$14 &amp; "d"&amp; $K$14 &amp; IF($I$5=1," ★","")</f>
        <v>13+2d10+2d8 ★</v>
      </c>
      <c r="G20" s="70" t="str">
        <f>$M$12+IF($I15="光輝",3,0)+$I$7 &amp; "+" &amp; $I$12 &amp; "d" &amp; $K$12 &amp; "+" &amp; $I$14 &amp; "d"&amp; $K$14 &amp; IF($I$5=1," ★","")</f>
        <v>13+2d10+2d8 ★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33+3d10</v>
      </c>
      <c r="E21" s="14" t="str">
        <f>($I$12*$K$12)+$M$12+IF($I15="光輝",3,0)+$I$7 &amp; "+" &amp; $I$13 &amp; "d" &amp; $K$13</f>
        <v>33+3d10</v>
      </c>
      <c r="F21" s="14" t="str">
        <f>($I$12*$K$12)+$M$12+IF($I15="光輝",3,0)+$I$7 &amp; "+" &amp; $I$13 &amp; "d" &amp; $K$13 &amp; IF($I$5=1," ★","")</f>
        <v>33+3d10 ★</v>
      </c>
      <c r="G21" s="71" t="str">
        <f>($I$12*$K$12)+$M$12+IF($I15="光輝",3,0)+$I$7 &amp; "+" &amp; $I$13 &amp; "d" &amp; $K$13 &amp; IF($I$5=1," ★","")</f>
        <v>33+3d10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49+3d10</v>
      </c>
      <c r="E22" s="15" t="str">
        <f>($I$12*$K$12)+$M$12+IF($I15="光輝",3,0)+$I$7 + ($I$14*$K$14) &amp; "+" &amp; $I$13 &amp; "d" &amp; $K$13</f>
        <v>49+3d10</v>
      </c>
      <c r="F22" s="15" t="str">
        <f>($I$12*$K$12)+$M$12+IF($I15="光輝",3,0)+$I$7 + ($I$14*$K$14) &amp; "+" &amp; $I$13 &amp; "d" &amp; $K$13 &amp; IF($I$5=1," ★","")</f>
        <v>49+3d10 ★</v>
      </c>
      <c r="G22" s="72" t="str">
        <f>($I$12*$K$12)+$M$12+IF($I15="光輝",3,0)+$I$7 + ($I$14*$K$14) &amp; "+" &amp; $I$13 &amp; "d" &amp; $K$13 &amp; IF($I$5=1," ★","")</f>
        <v>49+3d10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 ※</v>
      </c>
      <c r="E23" s="9" t="str">
        <f>$M$10+$I$6+3 &amp; "+1d20" &amp; IF($I$4=1," ※","")</f>
        <v>19+1d20 ※</v>
      </c>
      <c r="F23" s="9" t="str">
        <f>$M$10+$I$6+4 &amp; "+1d20" &amp; " ※"</f>
        <v>20+1d20 ※</v>
      </c>
      <c r="G23" s="68" t="str">
        <f>$M$10+$I$6+5+1 &amp; "+1d20" &amp; " ※"</f>
        <v>22+1d20 ※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18+2d10</v>
      </c>
      <c r="E24" s="11" t="str">
        <f>$M$12+IF($I15="光輝",3,0)+$I$7+5 &amp; "+" &amp; $I$12 &amp; $J$12 &amp; $K$12</f>
        <v>18+2d10</v>
      </c>
      <c r="F24" s="11" t="str">
        <f>$M$12+IF($I15="光輝",3,0)+$I$7+5 &amp; "+" &amp; $I$12 &amp; $J$12 &amp; $K$12 &amp; IF($I$5=1," ★","")</f>
        <v>18+2d10 ★</v>
      </c>
      <c r="G24" s="69" t="str">
        <f>$M$12+IF($I15="光輝",3,0)+$I$7+5 &amp; "+" &amp; $I$12 &amp; $J$12 &amp; $K$12 &amp; IF($I$5=1," ★","")</f>
        <v>18+2d10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18+2d10+2d8</v>
      </c>
      <c r="E25" s="16" t="str">
        <f>$M$12+IF($I15="光輝",3,0)+$I$7+5 &amp; "+" &amp; $I$12 &amp; "d" &amp; $K$12 &amp; "+" &amp; $I$14 &amp; "d"&amp; $K$14</f>
        <v>18+2d10+2d8</v>
      </c>
      <c r="F25" s="16" t="str">
        <f>$M$12+IF($I15="光輝",3,0)+$I$7+5 &amp; "+" &amp; $I$12 &amp; "d" &amp; $K$12 &amp; "+" &amp; $I$14 &amp; "d"&amp; $K$14 &amp; IF($I$5=1," ★","")</f>
        <v>18+2d10+2d8 ★</v>
      </c>
      <c r="G25" s="70" t="str">
        <f>$M$12+IF($I15="光輝",3,0)+$I$7+5 &amp; "+" &amp; $I$12 &amp; "d" &amp; $K$12 &amp; "+" &amp; $I$14 &amp; "d"&amp; $K$14 &amp; IF($I$5=1," ★","")</f>
        <v>18+2d10+2d8 ★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38+3d10</v>
      </c>
      <c r="E26" s="14" t="str">
        <f>($I$12*$K$12)+5+$M$12+IF($I15="光輝",3,0)+$I$7 &amp; "+" &amp; $I$13 &amp; "d" &amp; $K$13</f>
        <v>38+3d10</v>
      </c>
      <c r="F26" s="14" t="str">
        <f>($I$12*$K$12)+5+$M$12+IF($I15="光輝",3,0)+$I$7 &amp; "+" &amp; $I$13 &amp; "d" &amp; $K$13 &amp; IF($I$5=1," ★","")</f>
        <v>38+3d10 ★</v>
      </c>
      <c r="G26" s="71" t="str">
        <f>($I$12*$K$12)+5+$M$12+IF($I15="光輝",3,0)+$I$7 &amp; "+" &amp; $I$13 &amp; "d" &amp; $K$13 &amp; IF($I$5=1," ★","")</f>
        <v>38+3d10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54+3d10</v>
      </c>
      <c r="E27" s="15" t="str">
        <f>($I$12*$K$12)+5+$M$12+IF($I15="光輝",3,0)+$I$7 + ($I$14*$K$14) &amp; "+" &amp; $I$13 &amp; "d" &amp; $K$13</f>
        <v>54+3d10</v>
      </c>
      <c r="F27" s="15" t="str">
        <f>($I$12*$K$12)+5+$M$12+IF($I15="光輝",3,0)+$I$7 + ($I$14*$K$14) &amp; "+" &amp; $I$13 &amp; "d" &amp; $K$13 &amp; IF($I$5=1," ★","")</f>
        <v>54+3d10 ★</v>
      </c>
      <c r="G27" s="72" t="str">
        <f>($I$12*$K$12)+5+$M$12+IF($I15="光輝",3,0)+$I$7 + ($I$14*$K$14) &amp; "+" &amp; $I$13 &amp; "d" &amp; $K$13 &amp; IF($I$5=1," ★","")</f>
        <v>54+3d10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216</v>
      </c>
      <c r="B35" s="101"/>
      <c r="C35" s="101"/>
      <c r="D35" s="101"/>
      <c r="E35" s="101"/>
      <c r="F35" s="101"/>
      <c r="G35" s="102"/>
    </row>
    <row r="36" spans="1:7">
      <c r="A36" s="100" t="s">
        <v>217</v>
      </c>
      <c r="B36" s="101"/>
      <c r="C36" s="101"/>
      <c r="D36" s="101"/>
      <c r="E36" s="101"/>
      <c r="F36" s="101"/>
      <c r="G36" s="102"/>
    </row>
    <row r="37" spans="1:7">
      <c r="A37" s="100" t="s">
        <v>218</v>
      </c>
      <c r="B37" s="101"/>
      <c r="C37" s="101"/>
      <c r="D37" s="101"/>
      <c r="E37" s="101"/>
      <c r="F37" s="101"/>
      <c r="G37" s="102"/>
    </row>
    <row r="38" spans="1:7">
      <c r="A38" s="100" t="s">
        <v>219</v>
      </c>
      <c r="B38" s="101"/>
      <c r="C38" s="101"/>
      <c r="D38" s="101"/>
      <c r="E38" s="101"/>
      <c r="F38" s="101"/>
      <c r="G38" s="102"/>
    </row>
    <row r="39" spans="1:7">
      <c r="A39" s="100"/>
      <c r="B39" s="101"/>
      <c r="C39" s="101"/>
      <c r="D39" s="101"/>
      <c r="E39" s="101"/>
      <c r="F39" s="101"/>
      <c r="G39" s="102"/>
    </row>
    <row r="40" spans="1:7">
      <c r="A40" s="100"/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220</v>
      </c>
      <c r="B43" s="104"/>
      <c r="C43" s="104"/>
      <c r="D43" s="104"/>
      <c r="E43" s="104"/>
      <c r="F43" s="104"/>
      <c r="G43" s="105"/>
    </row>
    <row r="44" spans="1:7" ht="21">
      <c r="A44" s="87" t="s">
        <v>43</v>
      </c>
      <c r="B44" s="88">
        <f>$B$1</f>
        <v>11</v>
      </c>
      <c r="C44" s="89" t="s">
        <v>61</v>
      </c>
      <c r="D44" s="90" t="str">
        <f>$E$1</f>
        <v>遭遇毎</v>
      </c>
      <c r="E44" s="152" t="str">
        <f>$B$2</f>
        <v>トランス・イン・ザ・ガイド・スター</v>
      </c>
      <c r="F44" s="153"/>
      <c r="G44" s="154"/>
    </row>
  </sheetData>
  <mergeCells count="40">
    <mergeCell ref="E44:G44"/>
    <mergeCell ref="H11:H12"/>
    <mergeCell ref="B10:G10"/>
    <mergeCell ref="B11:G11"/>
    <mergeCell ref="B1:C1"/>
    <mergeCell ref="F1:G1"/>
    <mergeCell ref="B2:G2"/>
    <mergeCell ref="B4:G4"/>
    <mergeCell ref="B5:G5"/>
    <mergeCell ref="B6:D6"/>
    <mergeCell ref="A36:G36"/>
    <mergeCell ref="A23:A27"/>
    <mergeCell ref="B24:B25"/>
    <mergeCell ref="B26:B27"/>
    <mergeCell ref="A28:G28"/>
    <mergeCell ref="A29:G29"/>
    <mergeCell ref="A18:A22"/>
    <mergeCell ref="B19:B20"/>
    <mergeCell ref="B21:B22"/>
    <mergeCell ref="B7:G7"/>
    <mergeCell ref="B8:G8"/>
    <mergeCell ref="B9:G9"/>
    <mergeCell ref="B12:G12"/>
    <mergeCell ref="B13:G13"/>
    <mergeCell ref="B14:G14"/>
    <mergeCell ref="B15:G15"/>
    <mergeCell ref="A17:C17"/>
    <mergeCell ref="A30:G30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11" priority="3" operator="lessThan">
      <formula>9</formula>
    </cfRule>
  </conditionalFormatting>
  <conditionalFormatting sqref="F6">
    <cfRule type="cellIs" dxfId="10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47" t="s">
        <v>43</v>
      </c>
      <c r="B1" s="147">
        <v>13</v>
      </c>
      <c r="C1" s="148"/>
      <c r="D1" s="48" t="s">
        <v>61</v>
      </c>
      <c r="E1" s="49" t="s">
        <v>114</v>
      </c>
      <c r="F1" s="149"/>
      <c r="G1" s="150"/>
      <c r="H1" s="36" t="s">
        <v>96</v>
      </c>
    </row>
    <row r="2" spans="1:13" ht="24.75" customHeight="1">
      <c r="A2" s="48" t="s">
        <v>0</v>
      </c>
      <c r="B2" s="151" t="s">
        <v>149</v>
      </c>
      <c r="C2" s="151"/>
      <c r="D2" s="151"/>
      <c r="E2" s="151"/>
      <c r="F2" s="151"/>
      <c r="G2" s="151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150</v>
      </c>
      <c r="C4" s="136"/>
      <c r="D4" s="136"/>
      <c r="E4" s="136"/>
      <c r="F4" s="136"/>
      <c r="G4" s="137"/>
      <c r="H4" s="23" t="s">
        <v>80</v>
      </c>
      <c r="I4" s="26">
        <v>1</v>
      </c>
    </row>
    <row r="5" spans="1:13">
      <c r="A5" s="39" t="s">
        <v>58</v>
      </c>
      <c r="B5" s="135" t="s">
        <v>116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10</v>
      </c>
      <c r="H6" s="58" t="s">
        <v>153</v>
      </c>
      <c r="I6" s="57">
        <v>0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144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10</v>
      </c>
    </row>
    <row r="9" spans="1:13">
      <c r="A9" s="42" t="s">
        <v>16</v>
      </c>
      <c r="B9" s="138" t="s">
        <v>151</v>
      </c>
      <c r="C9" s="139"/>
      <c r="D9" s="139"/>
      <c r="E9" s="139"/>
      <c r="F9" s="139"/>
      <c r="G9" s="140"/>
      <c r="H9" s="3"/>
      <c r="I9" s="36" t="s">
        <v>97</v>
      </c>
      <c r="K9" s="36" t="s">
        <v>186</v>
      </c>
    </row>
    <row r="10" spans="1:13">
      <c r="A10" s="41"/>
      <c r="B10" s="100" t="s">
        <v>173</v>
      </c>
      <c r="C10" s="101"/>
      <c r="D10" s="101"/>
      <c r="E10" s="101"/>
      <c r="F10" s="101"/>
      <c r="G10" s="102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1"/>
      <c r="B11" s="100"/>
      <c r="C11" s="101"/>
      <c r="D11" s="101"/>
      <c r="E11" s="101"/>
      <c r="F11" s="101"/>
      <c r="G11" s="102"/>
      <c r="H11" s="133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1"/>
      <c r="B12" s="100" t="s">
        <v>152</v>
      </c>
      <c r="C12" s="101"/>
      <c r="D12" s="101"/>
      <c r="E12" s="101"/>
      <c r="F12" s="101"/>
      <c r="G12" s="102"/>
      <c r="H12" s="134"/>
      <c r="I12" s="26">
        <v>2</v>
      </c>
      <c r="J12" s="23" t="s">
        <v>77</v>
      </c>
      <c r="K12" s="26">
        <v>8</v>
      </c>
      <c r="L12" s="23" t="s">
        <v>95</v>
      </c>
      <c r="M12" s="6">
        <f>IF($I$11="知力",基本!$H$36,基本!$H$18)</f>
        <v>10</v>
      </c>
    </row>
    <row r="13" spans="1:13">
      <c r="A13" s="41"/>
      <c r="B13" s="100" t="s">
        <v>174</v>
      </c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156</v>
      </c>
    </row>
    <row r="16" spans="1:13" ht="14.25" thickBot="1">
      <c r="A16" s="35" t="s">
        <v>86</v>
      </c>
      <c r="E16" s="4"/>
    </row>
    <row r="17" spans="1:11" ht="18.75" customHeight="1" thickBot="1">
      <c r="A17" s="158" t="str">
        <f>$B$2</f>
        <v>ブレイズ･オブ･ウルバン</v>
      </c>
      <c r="B17" s="159"/>
      <c r="C17" s="160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 ※</v>
      </c>
      <c r="E18" s="9" t="str">
        <f>$M$10+2+$I$6 &amp; "+1d20" &amp; IF($I$4=1," ※","")</f>
        <v>18+1d20 ※</v>
      </c>
      <c r="F18" s="9" t="str">
        <f>$M$10+$I$6+3 &amp; "+1d20" &amp; " ※"</f>
        <v>19+1d20 ※</v>
      </c>
      <c r="G18" s="68" t="str">
        <f>$M$10+$I$6+5 &amp; "+1d20" &amp; " ※"</f>
        <v>21+1d20 ※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13+2d8</v>
      </c>
      <c r="E19" s="11" t="str">
        <f>$M$12+IF($I15="光輝",3,0)+$I$7 &amp; "+" &amp; $I$12 &amp; "d" &amp; $K$12</f>
        <v>13+2d8</v>
      </c>
      <c r="F19" s="11" t="str">
        <f>$M$12+IF($I15="光輝",3,0)+$I$7&amp;"+"&amp;$I$12&amp;"d"&amp;$K$12 &amp; IF($I$5=1," ★","")</f>
        <v>13+2d8 ★</v>
      </c>
      <c r="G19" s="69" t="str">
        <f>$M$12+IF($I15="光輝",3,0)+$I$7 &amp; "+" &amp; $I$12 &amp; "d" &amp; $K$12 &amp; IF($I$5=1," ★","")</f>
        <v>13+2d8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13+2d8+2d8</v>
      </c>
      <c r="E20" s="16" t="str">
        <f>$M$12+IF($I15="光輝",3,0)+$I$7 &amp; "+" &amp; $I$12 &amp; "d" &amp; $K$12 &amp; "+" &amp; $I$14 &amp; "d"&amp; $K$14</f>
        <v>13+2d8+2d8</v>
      </c>
      <c r="F20" s="16" t="str">
        <f>$M$12+IF($I15="光輝",3,0)+$I$7 &amp; "+" &amp; $I$12 &amp; "d" &amp; $K$12 &amp; "+" &amp; $I$14 &amp; "d"&amp; $K$14 &amp; IF($I$5=1," ★","")</f>
        <v>13+2d8+2d8 ★</v>
      </c>
      <c r="G20" s="70" t="str">
        <f>$M$12+IF($I15="光輝",3,0)+$I$7 &amp; "+" &amp; $I$12 &amp; "d" &amp; $K$12 &amp; "+" &amp; $I$14 &amp; "d"&amp; $K$14 &amp; IF($I$5=1," ★","")</f>
        <v>13+2d8+2d8 ★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29+3d10</v>
      </c>
      <c r="E21" s="14" t="str">
        <f>($I$12*$K$12)+$M$12+IF($I15="光輝",3,0)+$I$7 &amp; "+" &amp; $I$13 &amp; "d" &amp; $K$13</f>
        <v>29+3d10</v>
      </c>
      <c r="F21" s="14" t="str">
        <f>($I$12*$K$12)+$M$12+IF($I15="光輝",3,0)+$I$7 &amp; "+" &amp; $I$13 &amp; "d" &amp; $K$13 &amp; IF($I$5=1," ★","")</f>
        <v>29+3d10 ★</v>
      </c>
      <c r="G21" s="71" t="str">
        <f>($I$12*$K$12)+$M$12+IF($I15="光輝",3,0)+$I$7 &amp; "+" &amp; $I$13 &amp; "d" &amp; $K$13 &amp; IF($I$5=1," ★","")</f>
        <v>29+3d10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45+3d10</v>
      </c>
      <c r="E22" s="15" t="str">
        <f>($I$12*$K$12)+$M$12+IF($I15="光輝",3,0)+$I$7 + ($I$14*$K$14) &amp; "+" &amp; $I$13 &amp; "d" &amp; $K$13</f>
        <v>45+3d10</v>
      </c>
      <c r="F22" s="15" t="str">
        <f>($I$12*$K$12)+$M$12+IF($I15="光輝",3,0)+$I$7 + ($I$14*$K$14) &amp; "+" &amp; $I$13 &amp; "d" &amp; $K$13 &amp; IF($I$5=1," ★","")</f>
        <v>45+3d10 ★</v>
      </c>
      <c r="G22" s="72" t="str">
        <f>($I$12*$K$12)+$M$12+IF($I15="光輝",3,0)+$I$7 + ($I$14*$K$14) &amp; "+" &amp; $I$13 &amp; "d" &amp; $K$13 &amp; IF($I$5=1," ★","")</f>
        <v>45+3d10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 ※</v>
      </c>
      <c r="E23" s="9" t="str">
        <f>$M$10+$I$6+3 &amp; "+1d20" &amp; IF($I$4=1," ※","")</f>
        <v>19+1d20 ※</v>
      </c>
      <c r="F23" s="9" t="str">
        <f>$M$10+$I$6+4 &amp; "+1d20" &amp; " ※"</f>
        <v>20+1d20 ※</v>
      </c>
      <c r="G23" s="68" t="str">
        <f>$M$10+$I$6+5+1 &amp; "+1d20" &amp; " ※"</f>
        <v>22+1d20 ※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18+2d8</v>
      </c>
      <c r="E24" s="11" t="str">
        <f>$M$12+IF($I15="光輝",3,0)+$I$7+5 &amp; "+" &amp; $I$12 &amp; $J$12 &amp; $K$12</f>
        <v>18+2d8</v>
      </c>
      <c r="F24" s="11" t="str">
        <f>$M$12+IF($I15="光輝",3,0)+$I$7+5 &amp; "+" &amp; $I$12 &amp; $J$12 &amp; $K$12 &amp; IF($I$5=1," ★","")</f>
        <v>18+2d8 ★</v>
      </c>
      <c r="G24" s="69" t="str">
        <f>$M$12+IF($I15="光輝",3,0)+$I$7+5 &amp; "+" &amp; $I$12 &amp; $J$12 &amp; $K$12 &amp; IF($I$5=1," ★","")</f>
        <v>18+2d8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18+2d8+2d8</v>
      </c>
      <c r="E25" s="16" t="str">
        <f>$M$12+IF($I15="光輝",3,0)+$I$7+5 &amp; "+" &amp; $I$12 &amp; "d" &amp; $K$12 &amp; "+" &amp; $I$14 &amp; "d"&amp; $K$14</f>
        <v>18+2d8+2d8</v>
      </c>
      <c r="F25" s="16" t="str">
        <f>$M$12+IF($I15="光輝",3,0)+$I$7+5 &amp; "+" &amp; $I$12 &amp; "d" &amp; $K$12 &amp; "+" &amp; $I$14 &amp; "d"&amp; $K$14 &amp; IF($I$5=1," ★","")</f>
        <v>18+2d8+2d8 ★</v>
      </c>
      <c r="G25" s="70" t="str">
        <f>$M$12+IF($I15="光輝",3,0)+$I$7+5 &amp; "+" &amp; $I$12 &amp; "d" &amp; $K$12 &amp; "+" &amp; $I$14 &amp; "d"&amp; $K$14 &amp; IF($I$5=1," ★","")</f>
        <v>18+2d8+2d8 ★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34+3d10</v>
      </c>
      <c r="E26" s="14" t="str">
        <f>($I$12*$K$12)+5+$M$12+IF($I15="光輝",3,0)+$I$7 &amp; "+" &amp; $I$13 &amp; "d" &amp; $K$13</f>
        <v>34+3d10</v>
      </c>
      <c r="F26" s="14" t="str">
        <f>($I$12*$K$12)+5+$M$12+IF($I15="光輝",3,0)+$I$7 &amp; "+" &amp; $I$13 &amp; "d" &amp; $K$13 &amp; IF($I$5=1," ★","")</f>
        <v>34+3d10 ★</v>
      </c>
      <c r="G26" s="71" t="str">
        <f>($I$12*$K$12)+5+$M$12+IF($I15="光輝",3,0)+$I$7 &amp; "+" &amp; $I$13 &amp; "d" &amp; $K$13 &amp; IF($I$5=1," ★","")</f>
        <v>34+3d10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50+3d10</v>
      </c>
      <c r="E27" s="15" t="str">
        <f>($I$12*$K$12)+5+$M$12+IF($I15="光輝",3,0)+$I$7 + ($I$14*$K$14) &amp; "+" &amp; $I$13 &amp; "d" &amp; $K$13</f>
        <v>50+3d10</v>
      </c>
      <c r="F27" s="15" t="str">
        <f>($I$12*$K$12)+5+$M$12+IF($I15="光輝",3,0)+$I$7 + ($I$14*$K$14) &amp; "+" &amp; $I$13 &amp; "d" &amp; $K$13 &amp; IF($I$5=1," ★","")</f>
        <v>50+3d10 ★</v>
      </c>
      <c r="G27" s="72" t="str">
        <f>($I$12*$K$12)+5+$M$12+IF($I15="光輝",3,0)+$I$7 + ($I$14*$K$14) &amp; "+" &amp; $I$13 &amp; "d" &amp; $K$13 &amp; IF($I$5=1," ★","")</f>
        <v>50+3d10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204</v>
      </c>
      <c r="B35" s="101"/>
      <c r="C35" s="101"/>
      <c r="D35" s="101"/>
      <c r="E35" s="101"/>
      <c r="F35" s="101"/>
      <c r="G35" s="102"/>
    </row>
    <row r="36" spans="1:7">
      <c r="A36" s="100" t="s">
        <v>225</v>
      </c>
      <c r="B36" s="101"/>
      <c r="C36" s="101"/>
      <c r="D36" s="101"/>
      <c r="E36" s="101"/>
      <c r="F36" s="101"/>
      <c r="G36" s="102"/>
    </row>
    <row r="37" spans="1:7">
      <c r="A37" s="100" t="s">
        <v>221</v>
      </c>
      <c r="B37" s="101"/>
      <c r="C37" s="101"/>
      <c r="D37" s="101"/>
      <c r="E37" s="101"/>
      <c r="F37" s="101"/>
      <c r="G37" s="102"/>
    </row>
    <row r="38" spans="1:7">
      <c r="A38" s="100" t="s">
        <v>222</v>
      </c>
      <c r="B38" s="101"/>
      <c r="C38" s="101"/>
      <c r="D38" s="101"/>
      <c r="E38" s="101"/>
      <c r="F38" s="101"/>
      <c r="G38" s="102"/>
    </row>
    <row r="39" spans="1:7">
      <c r="A39" s="74" t="s">
        <v>223</v>
      </c>
      <c r="B39" s="75"/>
      <c r="C39" s="75"/>
      <c r="D39" s="75"/>
      <c r="E39" s="75"/>
      <c r="F39" s="75"/>
      <c r="G39" s="76"/>
    </row>
    <row r="40" spans="1:7">
      <c r="A40" s="74" t="s">
        <v>206</v>
      </c>
      <c r="B40" s="75"/>
      <c r="C40" s="75"/>
      <c r="D40" s="75"/>
      <c r="E40" s="75"/>
      <c r="F40" s="75"/>
      <c r="G40" s="76"/>
    </row>
    <row r="41" spans="1:7">
      <c r="A41" s="74" t="s">
        <v>224</v>
      </c>
      <c r="B41" s="75"/>
      <c r="C41" s="75"/>
      <c r="D41" s="75"/>
      <c r="E41" s="75"/>
      <c r="F41" s="75"/>
      <c r="G41" s="76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210</v>
      </c>
      <c r="B43" s="104"/>
      <c r="C43" s="104"/>
      <c r="D43" s="104"/>
      <c r="E43" s="104"/>
      <c r="F43" s="104"/>
      <c r="G43" s="105"/>
    </row>
    <row r="44" spans="1:7" ht="21">
      <c r="A44" s="87" t="s">
        <v>43</v>
      </c>
      <c r="B44" s="88">
        <f>$B$1</f>
        <v>13</v>
      </c>
      <c r="C44" s="89" t="s">
        <v>61</v>
      </c>
      <c r="D44" s="90" t="str">
        <f>$E$1</f>
        <v>遭遇毎</v>
      </c>
      <c r="E44" s="152" t="str">
        <f>$B$2</f>
        <v>ブレイズ･オブ･ウルバン</v>
      </c>
      <c r="F44" s="153"/>
      <c r="G44" s="154"/>
    </row>
  </sheetData>
  <mergeCells count="37">
    <mergeCell ref="E44:G44"/>
    <mergeCell ref="H11:H12"/>
    <mergeCell ref="B10:G10"/>
    <mergeCell ref="B11:G11"/>
    <mergeCell ref="B1:C1"/>
    <mergeCell ref="F1:G1"/>
    <mergeCell ref="B2:G2"/>
    <mergeCell ref="B4:G4"/>
    <mergeCell ref="B5:G5"/>
    <mergeCell ref="B6:D6"/>
    <mergeCell ref="A35:G35"/>
    <mergeCell ref="A18:A22"/>
    <mergeCell ref="B19:B20"/>
    <mergeCell ref="B21:B22"/>
    <mergeCell ref="B7:G7"/>
    <mergeCell ref="B8:G8"/>
    <mergeCell ref="B9:G9"/>
    <mergeCell ref="B12:G12"/>
    <mergeCell ref="B13:G13"/>
    <mergeCell ref="B14:G14"/>
    <mergeCell ref="B15:G15"/>
    <mergeCell ref="A17:C17"/>
    <mergeCell ref="A30:G30"/>
    <mergeCell ref="A31:G31"/>
    <mergeCell ref="A32:G32"/>
    <mergeCell ref="A33:G33"/>
    <mergeCell ref="A34:G34"/>
    <mergeCell ref="A23:A27"/>
    <mergeCell ref="B24:B25"/>
    <mergeCell ref="B26:B27"/>
    <mergeCell ref="A28:G28"/>
    <mergeCell ref="A29:G29"/>
    <mergeCell ref="A43:G43"/>
    <mergeCell ref="A37:G37"/>
    <mergeCell ref="A38:G38"/>
    <mergeCell ref="A42:G42"/>
    <mergeCell ref="A36:G36"/>
  </mergeCells>
  <phoneticPr fontId="1"/>
  <conditionalFormatting sqref="G6">
    <cfRule type="cellIs" dxfId="9" priority="5" operator="lessThan">
      <formula>9</formula>
    </cfRule>
  </conditionalFormatting>
  <conditionalFormatting sqref="F6">
    <cfRule type="cellIs" dxfId="8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M44"/>
  <sheetViews>
    <sheetView workbookViewId="0"/>
  </sheetViews>
  <sheetFormatPr defaultRowHeight="13.5"/>
  <cols>
    <col min="1" max="2" width="7.875" customWidth="1"/>
    <col min="3" max="3" width="6.625" customWidth="1"/>
    <col min="4" max="4" width="15.75" customWidth="1"/>
    <col min="5" max="6" width="15.75" style="1" customWidth="1"/>
    <col min="7" max="7" width="18.25" style="1" customWidth="1"/>
    <col min="8" max="8" width="18.5" style="1" customWidth="1"/>
    <col min="9" max="9" width="7.25" style="1" customWidth="1"/>
    <col min="10" max="11" width="12.375" style="1" customWidth="1"/>
    <col min="12" max="12" width="15.5" bestFit="1" customWidth="1"/>
    <col min="13" max="13" width="9.25" customWidth="1"/>
    <col min="14" max="14" width="12.375" customWidth="1"/>
  </cols>
  <sheetData>
    <row r="1" spans="1:13" ht="21">
      <c r="A1" s="50" t="s">
        <v>43</v>
      </c>
      <c r="B1" s="171">
        <v>1</v>
      </c>
      <c r="C1" s="172"/>
      <c r="D1" s="51" t="s">
        <v>61</v>
      </c>
      <c r="E1" s="52" t="s">
        <v>121</v>
      </c>
      <c r="F1" s="173"/>
      <c r="G1" s="174"/>
      <c r="H1" s="36" t="s">
        <v>96</v>
      </c>
    </row>
    <row r="2" spans="1:13" ht="24.75" customHeight="1">
      <c r="A2" s="51" t="s">
        <v>0</v>
      </c>
      <c r="B2" s="175" t="s">
        <v>120</v>
      </c>
      <c r="C2" s="175"/>
      <c r="D2" s="175"/>
      <c r="E2" s="175"/>
      <c r="F2" s="175"/>
      <c r="G2" s="175"/>
      <c r="H2" s="36" t="s">
        <v>98</v>
      </c>
    </row>
    <row r="3" spans="1:13" ht="19.5" customHeight="1">
      <c r="A3" s="34" t="s">
        <v>87</v>
      </c>
      <c r="B3" s="1"/>
      <c r="C3" s="1"/>
      <c r="D3" s="1"/>
      <c r="I3" s="36" t="s">
        <v>84</v>
      </c>
    </row>
    <row r="4" spans="1:13">
      <c r="A4" s="38" t="s">
        <v>85</v>
      </c>
      <c r="B4" s="135" t="s">
        <v>115</v>
      </c>
      <c r="C4" s="136"/>
      <c r="D4" s="136"/>
      <c r="E4" s="136"/>
      <c r="F4" s="136"/>
      <c r="G4" s="137"/>
      <c r="H4" s="23" t="s">
        <v>80</v>
      </c>
      <c r="I4" s="26">
        <v>1</v>
      </c>
    </row>
    <row r="5" spans="1:13">
      <c r="A5" s="39" t="s">
        <v>58</v>
      </c>
      <c r="B5" s="135" t="s">
        <v>122</v>
      </c>
      <c r="C5" s="136"/>
      <c r="D5" s="136"/>
      <c r="E5" s="136"/>
      <c r="F5" s="136"/>
      <c r="G5" s="137"/>
      <c r="H5" s="23" t="s">
        <v>81</v>
      </c>
      <c r="I5" s="26">
        <v>1</v>
      </c>
    </row>
    <row r="6" spans="1:13">
      <c r="A6" s="39" t="s">
        <v>11</v>
      </c>
      <c r="B6" s="135" t="s">
        <v>9</v>
      </c>
      <c r="C6" s="136"/>
      <c r="D6" s="137"/>
      <c r="E6" s="23" t="s">
        <v>103</v>
      </c>
      <c r="F6" s="59" t="str">
        <f>$I$8</f>
        <v>遠隔</v>
      </c>
      <c r="G6" s="59">
        <f>$J$8</f>
        <v>10</v>
      </c>
      <c r="H6" s="58" t="s">
        <v>153</v>
      </c>
      <c r="I6" s="57">
        <v>0</v>
      </c>
    </row>
    <row r="7" spans="1:13">
      <c r="A7" s="40" t="s">
        <v>10</v>
      </c>
      <c r="B7" s="135" t="s">
        <v>13</v>
      </c>
      <c r="C7" s="136"/>
      <c r="D7" s="136"/>
      <c r="E7" s="136"/>
      <c r="F7" s="136"/>
      <c r="G7" s="137"/>
      <c r="H7" s="58" t="s">
        <v>154</v>
      </c>
      <c r="I7" s="57">
        <v>0</v>
      </c>
    </row>
    <row r="8" spans="1:13">
      <c r="A8" s="40" t="s">
        <v>14</v>
      </c>
      <c r="B8" s="135" t="s">
        <v>123</v>
      </c>
      <c r="C8" s="136"/>
      <c r="D8" s="136"/>
      <c r="E8" s="136"/>
      <c r="F8" s="136"/>
      <c r="G8" s="137"/>
      <c r="H8" s="23" t="s">
        <v>75</v>
      </c>
      <c r="I8" s="26" t="s">
        <v>76</v>
      </c>
      <c r="J8" s="26">
        <v>10</v>
      </c>
    </row>
    <row r="9" spans="1:13">
      <c r="A9" s="42" t="s">
        <v>16</v>
      </c>
      <c r="B9" s="138" t="s">
        <v>124</v>
      </c>
      <c r="C9" s="139"/>
      <c r="D9" s="139"/>
      <c r="E9" s="139"/>
      <c r="F9" s="139"/>
      <c r="G9" s="140"/>
      <c r="H9" s="3"/>
      <c r="I9" s="36" t="s">
        <v>97</v>
      </c>
      <c r="K9" s="36" t="s">
        <v>186</v>
      </c>
    </row>
    <row r="10" spans="1:13">
      <c r="A10" s="41"/>
      <c r="B10" s="170" t="s">
        <v>125</v>
      </c>
      <c r="C10" s="101"/>
      <c r="D10" s="101"/>
      <c r="E10" s="101"/>
      <c r="F10" s="101"/>
      <c r="G10" s="102"/>
      <c r="H10" s="23" t="s">
        <v>92</v>
      </c>
      <c r="I10" s="26" t="s">
        <v>27</v>
      </c>
      <c r="J10" s="26" t="s">
        <v>31</v>
      </c>
      <c r="K10" s="73">
        <f>IF($I$10="知力",基本!$K$36,基本!$K$18)</f>
        <v>5</v>
      </c>
      <c r="L10" s="23" t="s">
        <v>94</v>
      </c>
      <c r="M10" s="6">
        <f>IF($I$10="知力",基本!$G$34,基本!$G$16)</f>
        <v>16</v>
      </c>
    </row>
    <row r="11" spans="1:13">
      <c r="A11" s="41"/>
      <c r="B11" s="161" t="s">
        <v>126</v>
      </c>
      <c r="C11" s="162"/>
      <c r="D11" s="162"/>
      <c r="E11" s="162"/>
      <c r="F11" s="162"/>
      <c r="G11" s="163"/>
      <c r="H11" s="133" t="s">
        <v>93</v>
      </c>
      <c r="I11" s="26" t="s">
        <v>27</v>
      </c>
      <c r="K11" s="73">
        <f>IF($I$11="知力",基本!$K$36,基本!$K$18)</f>
        <v>5</v>
      </c>
      <c r="L11" s="1"/>
    </row>
    <row r="12" spans="1:13">
      <c r="A12" s="41"/>
      <c r="B12" s="161" t="s">
        <v>127</v>
      </c>
      <c r="C12" s="162"/>
      <c r="D12" s="162"/>
      <c r="E12" s="162"/>
      <c r="F12" s="162"/>
      <c r="G12" s="163"/>
      <c r="H12" s="134"/>
      <c r="I12" s="26">
        <v>2</v>
      </c>
      <c r="J12" s="23" t="s">
        <v>77</v>
      </c>
      <c r="K12" s="26">
        <v>12</v>
      </c>
      <c r="L12" s="23" t="s">
        <v>95</v>
      </c>
      <c r="M12" s="6">
        <f>IF($I$11="知力",基本!$H$36,基本!$H$18)</f>
        <v>10</v>
      </c>
    </row>
    <row r="13" spans="1:13" ht="17.25">
      <c r="A13" s="41"/>
      <c r="B13" s="100" t="s">
        <v>175</v>
      </c>
      <c r="C13" s="101"/>
      <c r="D13" s="101"/>
      <c r="E13" s="101"/>
      <c r="F13" s="101"/>
      <c r="G13" s="102"/>
      <c r="H13" s="23" t="s">
        <v>91</v>
      </c>
      <c r="I13" s="6">
        <f>IF($I$11="知力",基本!$L$38,基本!$L$20)</f>
        <v>3</v>
      </c>
      <c r="J13" s="23" t="s">
        <v>77</v>
      </c>
      <c r="K13" s="6">
        <f>IF($I$11="知力",基本!$N$38,基本!$N$20)</f>
        <v>10</v>
      </c>
    </row>
    <row r="14" spans="1:13">
      <c r="A14" s="41"/>
      <c r="B14" s="100"/>
      <c r="C14" s="101"/>
      <c r="D14" s="101"/>
      <c r="E14" s="101"/>
      <c r="F14" s="101"/>
      <c r="G14" s="102"/>
      <c r="H14" s="23" t="s">
        <v>99</v>
      </c>
      <c r="I14" s="6">
        <f>基本!$B$21</f>
        <v>2</v>
      </c>
      <c r="J14" s="23" t="s">
        <v>77</v>
      </c>
      <c r="K14" s="6">
        <f>基本!$D$21</f>
        <v>8</v>
      </c>
    </row>
    <row r="15" spans="1:13">
      <c r="A15" s="43"/>
      <c r="B15" s="103"/>
      <c r="C15" s="104"/>
      <c r="D15" s="104"/>
      <c r="E15" s="104"/>
      <c r="F15" s="104"/>
      <c r="G15" s="105"/>
      <c r="H15" s="58" t="s">
        <v>155</v>
      </c>
      <c r="I15" s="28" t="s">
        <v>156</v>
      </c>
    </row>
    <row r="16" spans="1:13" ht="14.25" thickBot="1">
      <c r="A16" s="35" t="s">
        <v>86</v>
      </c>
      <c r="E16" s="4"/>
    </row>
    <row r="17" spans="1:11" ht="18.75" customHeight="1" thickBot="1">
      <c r="A17" s="164" t="str">
        <f>$B$2</f>
        <v>クラウン・オヴ・スターズ</v>
      </c>
      <c r="B17" s="165"/>
      <c r="C17" s="166"/>
      <c r="D17" s="7" t="s">
        <v>4</v>
      </c>
      <c r="E17" s="77" t="s">
        <v>3</v>
      </c>
      <c r="F17" s="78" t="s">
        <v>59</v>
      </c>
      <c r="G17" s="17" t="s">
        <v>60</v>
      </c>
    </row>
    <row r="18" spans="1:11" ht="38.25" customHeight="1">
      <c r="A18" s="115" t="s">
        <v>1</v>
      </c>
      <c r="B18" s="8" t="s">
        <v>69</v>
      </c>
      <c r="C18" s="37" t="str">
        <f>$J$10</f>
        <v>意志</v>
      </c>
      <c r="D18" s="9" t="str">
        <f>$M$10+$I$6 &amp; "+1d20" &amp; IF($I$4=1," ※","")</f>
        <v>16+1d20 ※</v>
      </c>
      <c r="E18" s="9" t="str">
        <f>$M$10+2+$I$6 &amp; "+1d20" &amp; IF($I$4=1," ※","")</f>
        <v>18+1d20 ※</v>
      </c>
      <c r="F18" s="9" t="str">
        <f>$M$10+$I$6+3 &amp; "+1d20" &amp; " ※"</f>
        <v>19+1d20 ※</v>
      </c>
      <c r="G18" s="68" t="str">
        <f>$M$10+$I$6+5 &amp; "+1d20" &amp; " ※"</f>
        <v>21+1d20 ※</v>
      </c>
    </row>
    <row r="19" spans="1:11" ht="24.75" customHeight="1">
      <c r="A19" s="116"/>
      <c r="B19" s="118" t="s">
        <v>7</v>
      </c>
      <c r="C19" s="10" t="s">
        <v>4</v>
      </c>
      <c r="D19" s="11" t="str">
        <f>$M$12+IF($I15="光輝",3,0)+$I$7 &amp; "+" &amp; $I$12 &amp; "d" &amp; $K$12</f>
        <v>13+2d12</v>
      </c>
      <c r="E19" s="11" t="str">
        <f>$M$12+IF($I15="光輝",3,0)+$I$7 &amp; "+" &amp; $I$12 &amp; "d" &amp; $K$12</f>
        <v>13+2d12</v>
      </c>
      <c r="F19" s="11" t="str">
        <f>$M$12+IF($I15="光輝",3,0)+$I$7&amp;"+"&amp;$I$12&amp;"d"&amp;$K$12 &amp; IF($I$5=1," ★","")</f>
        <v>13+2d12 ★</v>
      </c>
      <c r="G19" s="69" t="str">
        <f>$M$12+IF($I15="光輝",3,0)+$I$7 &amp; "+" &amp; $I$12 &amp; "d" &amp; $K$12 &amp; IF($I$5=1," ★","")</f>
        <v>13+2d12 ★</v>
      </c>
    </row>
    <row r="20" spans="1:11" ht="24.75" customHeight="1">
      <c r="A20" s="116"/>
      <c r="B20" s="119"/>
      <c r="C20" s="19" t="s">
        <v>2</v>
      </c>
      <c r="D20" s="16" t="str">
        <f>$M$12+IF($I15="光輝",3,0)+$I$7 &amp; "+" &amp; $I$12 &amp; "d" &amp; $K$12 &amp; "+" &amp; $I$14 &amp; "d"&amp; $K$14</f>
        <v>13+2d12+2d8</v>
      </c>
      <c r="E20" s="16" t="str">
        <f>$M$12+IF($I15="光輝",3,0)+$I$7 &amp; "+" &amp; $I$12 &amp; "d" &amp; $K$12 &amp; "+" &amp; $I$14 &amp; "d"&amp; $K$14</f>
        <v>13+2d12+2d8</v>
      </c>
      <c r="F20" s="16" t="str">
        <f>$M$12+IF($I15="光輝",3,0)+$I$7 &amp; "+" &amp; $I$12 &amp; "d" &amp; $K$12 &amp; "+" &amp; $I$14 &amp; "d"&amp; $K$14 &amp; IF($I$5=1," ★","")</f>
        <v>13+2d12+2d8 ★</v>
      </c>
      <c r="G20" s="70" t="str">
        <f>$M$12+IF($I15="光輝",3,0)+$I$7 &amp; "+" &amp; $I$12 &amp; "d" &amp; $K$12 &amp; "+" &amp; $I$14 &amp; "d"&amp; $K$14 &amp; IF($I$5=1," ★","")</f>
        <v>13+2d12+2d8 ★</v>
      </c>
      <c r="I20"/>
      <c r="J20"/>
      <c r="K20"/>
    </row>
    <row r="21" spans="1:11" ht="24.75" customHeight="1">
      <c r="A21" s="116"/>
      <c r="B21" s="120" t="s">
        <v>6</v>
      </c>
      <c r="C21" s="13" t="s">
        <v>4</v>
      </c>
      <c r="D21" s="14" t="str">
        <f>($I$12*$K$12)+$M$12+IF($I15="光輝",3,0)+$I$7 &amp; "+" &amp; $I$13 &amp; "d" &amp; $K$13</f>
        <v>37+3d10</v>
      </c>
      <c r="E21" s="14" t="str">
        <f>($I$12*$K$12)+$M$12+IF($I15="光輝",3,0)+$I$7 &amp; "+" &amp; $I$13 &amp; "d" &amp; $K$13</f>
        <v>37+3d10</v>
      </c>
      <c r="F21" s="14" t="str">
        <f>($I$12*$K$12)+$M$12+IF($I15="光輝",3,0)+$I$7 &amp; "+" &amp; $I$13 &amp; "d" &amp; $K$13 &amp; IF($I$5=1," ★","")</f>
        <v>37+3d10 ★</v>
      </c>
      <c r="G21" s="71" t="str">
        <f>($I$12*$K$12)+$M$12+IF($I15="光輝",3,0)+$I$7 &amp; "+" &amp; $I$13 &amp; "d" &amp; $K$13 &amp; IF($I$5=1," ★","")</f>
        <v>37+3d10 ★</v>
      </c>
      <c r="I21"/>
      <c r="J21"/>
      <c r="K21"/>
    </row>
    <row r="22" spans="1:11" ht="24.75" customHeight="1" thickBot="1">
      <c r="A22" s="117"/>
      <c r="B22" s="121"/>
      <c r="C22" s="18" t="s">
        <v>2</v>
      </c>
      <c r="D22" s="15" t="str">
        <f>($I$12*$K$12)+$M$12+IF($I15="光輝",3,0)+$I$7 + ($I$14*$K$14) &amp; "+" &amp; $I$13 &amp; "d" &amp; $K$13</f>
        <v>53+3d10</v>
      </c>
      <c r="E22" s="15" t="str">
        <f>($I$12*$K$12)+$M$12+IF($I15="光輝",3,0)+$I$7 + ($I$14*$K$14) &amp; "+" &amp; $I$13 &amp; "d" &amp; $K$13</f>
        <v>53+3d10</v>
      </c>
      <c r="F22" s="15" t="str">
        <f>($I$12*$K$12)+$M$12+IF($I15="光輝",3,0)+$I$7 + ($I$14*$K$14) &amp; "+" &amp; $I$13 &amp; "d" &amp; $K$13 &amp; IF($I$5=1," ★","")</f>
        <v>53+3d10 ★</v>
      </c>
      <c r="G22" s="72" t="str">
        <f>($I$12*$K$12)+$M$12+IF($I15="光輝",3,0)+$I$7 + ($I$14*$K$14) &amp; "+" &amp; $I$13 &amp; "d" &amp; $K$13 &amp; IF($I$5=1," ★","")</f>
        <v>53+3d10 ★</v>
      </c>
      <c r="I22"/>
      <c r="J22"/>
      <c r="K22"/>
    </row>
    <row r="23" spans="1:11" ht="38.25" customHeight="1">
      <c r="A23" s="122" t="s">
        <v>5</v>
      </c>
      <c r="B23" s="8" t="s">
        <v>69</v>
      </c>
      <c r="C23" s="37" t="str">
        <f>$J$10</f>
        <v>意志</v>
      </c>
      <c r="D23" s="9" t="str">
        <f>$M$10+$I$6+1 &amp; "+1d20" &amp; IF($I$4=1," ※","")</f>
        <v>17+1d20 ※</v>
      </c>
      <c r="E23" s="9" t="str">
        <f>$M$10+$I$6+3 &amp; "+1d20" &amp; IF($I$4=1," ※","")</f>
        <v>19+1d20 ※</v>
      </c>
      <c r="F23" s="9" t="str">
        <f>$M$10+$I$6+4 &amp; "+1d20" &amp; " ※"</f>
        <v>20+1d20 ※</v>
      </c>
      <c r="G23" s="68" t="str">
        <f>$M$10+$I$6+5+1 &amp; "+1d20" &amp; " ※"</f>
        <v>22+1d20 ※</v>
      </c>
      <c r="I23"/>
      <c r="J23"/>
      <c r="K23"/>
    </row>
    <row r="24" spans="1:11" ht="24" customHeight="1">
      <c r="A24" s="123"/>
      <c r="B24" s="118" t="s">
        <v>7</v>
      </c>
      <c r="C24" s="12" t="s">
        <v>4</v>
      </c>
      <c r="D24" s="11" t="str">
        <f>$M$12+IF($I15="光輝",3,0)+$I$7+5 &amp; "+" &amp; $I$12 &amp; $J$12 &amp; $K$12</f>
        <v>18+2d12</v>
      </c>
      <c r="E24" s="11" t="str">
        <f>$M$12+IF($I15="光輝",3,0)+$I$7+5 &amp; "+" &amp; $I$12 &amp; $J$12 &amp; $K$12</f>
        <v>18+2d12</v>
      </c>
      <c r="F24" s="11" t="str">
        <f>$M$12+IF($I15="光輝",3,0)+$I$7+5 &amp; "+" &amp; $I$12 &amp; $J$12 &amp; $K$12 &amp; IF($I$5=1," ★","")</f>
        <v>18+2d12 ★</v>
      </c>
      <c r="G24" s="69" t="str">
        <f>$M$12+IF($I15="光輝",3,0)+$I$7+5 &amp; "+" &amp; $I$12 &amp; $J$12 &amp; $K$12 &amp; IF($I$5=1," ★","")</f>
        <v>18+2d12 ★</v>
      </c>
      <c r="I24"/>
      <c r="J24"/>
      <c r="K24"/>
    </row>
    <row r="25" spans="1:11" ht="24" customHeight="1">
      <c r="A25" s="123"/>
      <c r="B25" s="119"/>
      <c r="C25" s="19" t="s">
        <v>2</v>
      </c>
      <c r="D25" s="16" t="str">
        <f>$M$12+IF($I15="光輝",3,0)+$I$7+5 &amp; "+" &amp; $I$12 &amp; "d" &amp; $K$12 &amp; "+" &amp; $I$14 &amp; "d"&amp; $K$14</f>
        <v>18+2d12+2d8</v>
      </c>
      <c r="E25" s="16" t="str">
        <f>$M$12+IF($I15="光輝",3,0)+$I$7+5 &amp; "+" &amp; $I$12 &amp; "d" &amp; $K$12 &amp; "+" &amp; $I$14 &amp; "d"&amp; $K$14</f>
        <v>18+2d12+2d8</v>
      </c>
      <c r="F25" s="16" t="str">
        <f>$M$12+IF($I15="光輝",3,0)+$I$7+5 &amp; "+" &amp; $I$12 &amp; "d" &amp; $K$12 &amp; "+" &amp; $I$14 &amp; "d"&amp; $K$14 &amp; IF($I$5=1," ★","")</f>
        <v>18+2d12+2d8 ★</v>
      </c>
      <c r="G25" s="70" t="str">
        <f>$M$12+IF($I15="光輝",3,0)+$I$7+5 &amp; "+" &amp; $I$12 &amp; "d" &amp; $K$12 &amp; "+" &amp; $I$14 &amp; "d"&amp; $K$14 &amp; IF($I$5=1," ★","")</f>
        <v>18+2d12+2d8 ★</v>
      </c>
      <c r="I25"/>
      <c r="J25"/>
      <c r="K25"/>
    </row>
    <row r="26" spans="1:11" ht="24" customHeight="1">
      <c r="A26" s="123"/>
      <c r="B26" s="120" t="s">
        <v>6</v>
      </c>
      <c r="C26" s="13" t="s">
        <v>4</v>
      </c>
      <c r="D26" s="14" t="str">
        <f>($I$12*$K$12)+5+$M$12+IF($I15="光輝",3,0)+$I$7 &amp; "+" &amp; $I$13 &amp; "d" &amp; $K$13</f>
        <v>42+3d10</v>
      </c>
      <c r="E26" s="14" t="str">
        <f>($I$12*$K$12)+5+$M$12+IF($I15="光輝",3,0)+$I$7 &amp; "+" &amp; $I$13 &amp; "d" &amp; $K$13</f>
        <v>42+3d10</v>
      </c>
      <c r="F26" s="14" t="str">
        <f>($I$12*$K$12)+5+$M$12+IF($I15="光輝",3,0)+$I$7 &amp; "+" &amp; $I$13 &amp; "d" &amp; $K$13 &amp; IF($I$5=1," ★","")</f>
        <v>42+3d10 ★</v>
      </c>
      <c r="G26" s="71" t="str">
        <f>($I$12*$K$12)+5+$M$12+IF($I15="光輝",3,0)+$I$7 &amp; "+" &amp; $I$13 &amp; "d" &amp; $K$13 &amp; IF($I$5=1," ★","")</f>
        <v>42+3d10 ★</v>
      </c>
      <c r="I26"/>
      <c r="J26"/>
      <c r="K26"/>
    </row>
    <row r="27" spans="1:11" ht="24" customHeight="1" thickBot="1">
      <c r="A27" s="124"/>
      <c r="B27" s="121"/>
      <c r="C27" s="18" t="s">
        <v>2</v>
      </c>
      <c r="D27" s="15" t="str">
        <f>($I$12*$K$12)+5+$M$12+IF($I15="光輝",3,0)+$I$7 + ($I$14*$K$14) &amp; "+" &amp; $I$13 &amp; "d" &amp; $K$13</f>
        <v>58+3d10</v>
      </c>
      <c r="E27" s="15" t="str">
        <f>($I$12*$K$12)+5+$M$12+IF($I15="光輝",3,0)+$I$7 + ($I$14*$K$14) &amp; "+" &amp; $I$13 &amp; "d" &amp; $K$13</f>
        <v>58+3d10</v>
      </c>
      <c r="F27" s="15" t="str">
        <f>($I$12*$K$12)+5+$M$12+IF($I15="光輝",3,0)+$I$7 + ($I$14*$K$14) &amp; "+" &amp; $I$13 &amp; "d" &amp; $K$13 &amp; IF($I$5=1," ★","")</f>
        <v>58+3d10 ★</v>
      </c>
      <c r="G27" s="72" t="str">
        <f>($I$12*$K$12)+5+$M$12+IF($I15="光輝",3,0)+$I$7 + ($I$14*$K$14) &amp; "+" &amp; $I$13 &amp; "d" &amp; $K$13 &amp; IF($I$5=1," ★","")</f>
        <v>58+3d10 ★</v>
      </c>
      <c r="I27"/>
      <c r="J27"/>
      <c r="K27"/>
    </row>
    <row r="28" spans="1:11" ht="24" customHeight="1">
      <c r="A28" s="111" t="s">
        <v>82</v>
      </c>
      <c r="B28" s="111"/>
      <c r="C28" s="111"/>
      <c r="D28" s="111"/>
      <c r="E28" s="111"/>
      <c r="F28" s="111"/>
      <c r="G28" s="111"/>
      <c r="I28"/>
      <c r="J28"/>
      <c r="K28"/>
    </row>
    <row r="29" spans="1:11" ht="18.75">
      <c r="A29" s="107" t="s">
        <v>89</v>
      </c>
      <c r="B29" s="107"/>
      <c r="C29" s="107"/>
      <c r="D29" s="107"/>
      <c r="E29" s="107"/>
      <c r="F29" s="107"/>
      <c r="G29" s="107"/>
      <c r="I29"/>
      <c r="J29"/>
      <c r="K29"/>
    </row>
    <row r="30" spans="1:11">
      <c r="A30" s="106" t="s">
        <v>83</v>
      </c>
      <c r="B30" s="106"/>
      <c r="C30" s="106"/>
      <c r="D30" s="106"/>
      <c r="E30" s="106"/>
      <c r="F30" s="106"/>
      <c r="G30" s="106"/>
      <c r="I30"/>
      <c r="J30"/>
      <c r="K30"/>
    </row>
    <row r="31" spans="1:11" ht="17.25">
      <c r="A31" s="107" t="s">
        <v>90</v>
      </c>
      <c r="B31" s="107"/>
      <c r="C31" s="107"/>
      <c r="D31" s="107"/>
      <c r="E31" s="107"/>
      <c r="F31" s="107"/>
      <c r="G31" s="107"/>
    </row>
    <row r="32" spans="1:11">
      <c r="A32" s="104" t="s">
        <v>66</v>
      </c>
      <c r="B32" s="104"/>
      <c r="C32" s="104"/>
      <c r="D32" s="104"/>
      <c r="E32" s="104"/>
      <c r="F32" s="104"/>
      <c r="G32" s="104"/>
    </row>
    <row r="33" spans="1:7">
      <c r="A33" s="108" t="s">
        <v>88</v>
      </c>
      <c r="B33" s="109"/>
      <c r="C33" s="109"/>
      <c r="D33" s="109"/>
      <c r="E33" s="109"/>
      <c r="F33" s="109"/>
      <c r="G33" s="110"/>
    </row>
    <row r="34" spans="1:7">
      <c r="A34" s="100"/>
      <c r="B34" s="101"/>
      <c r="C34" s="101"/>
      <c r="D34" s="101"/>
      <c r="E34" s="101"/>
      <c r="F34" s="101"/>
      <c r="G34" s="102"/>
    </row>
    <row r="35" spans="1:7">
      <c r="A35" s="100" t="s">
        <v>226</v>
      </c>
      <c r="B35" s="101"/>
      <c r="C35" s="101"/>
      <c r="D35" s="101"/>
      <c r="E35" s="101"/>
      <c r="F35" s="101"/>
      <c r="G35" s="102"/>
    </row>
    <row r="36" spans="1:7">
      <c r="A36" s="100" t="s">
        <v>227</v>
      </c>
      <c r="B36" s="101"/>
      <c r="C36" s="101"/>
      <c r="D36" s="101"/>
      <c r="E36" s="101"/>
      <c r="F36" s="101"/>
      <c r="G36" s="102"/>
    </row>
    <row r="37" spans="1:7">
      <c r="A37" s="100" t="s">
        <v>228</v>
      </c>
      <c r="B37" s="101"/>
      <c r="C37" s="101"/>
      <c r="D37" s="101"/>
      <c r="E37" s="101"/>
      <c r="F37" s="101"/>
      <c r="G37" s="102"/>
    </row>
    <row r="38" spans="1:7">
      <c r="A38" s="100"/>
      <c r="B38" s="101"/>
      <c r="C38" s="101"/>
      <c r="D38" s="101"/>
      <c r="E38" s="101"/>
      <c r="F38" s="101"/>
      <c r="G38" s="102"/>
    </row>
    <row r="39" spans="1:7">
      <c r="A39" s="100" t="s">
        <v>184</v>
      </c>
      <c r="B39" s="101"/>
      <c r="C39" s="101"/>
      <c r="D39" s="101"/>
      <c r="E39" s="101"/>
      <c r="F39" s="101"/>
      <c r="G39" s="102"/>
    </row>
    <row r="40" spans="1:7">
      <c r="A40" s="100"/>
      <c r="B40" s="101"/>
      <c r="C40" s="101"/>
      <c r="D40" s="101"/>
      <c r="E40" s="101"/>
      <c r="F40" s="101"/>
      <c r="G40" s="102"/>
    </row>
    <row r="41" spans="1:7">
      <c r="A41" s="100"/>
      <c r="B41" s="101"/>
      <c r="C41" s="101"/>
      <c r="D41" s="101"/>
      <c r="E41" s="101"/>
      <c r="F41" s="101"/>
      <c r="G41" s="102"/>
    </row>
    <row r="42" spans="1:7">
      <c r="A42" s="100"/>
      <c r="B42" s="101"/>
      <c r="C42" s="101"/>
      <c r="D42" s="101"/>
      <c r="E42" s="101"/>
      <c r="F42" s="101"/>
      <c r="G42" s="102"/>
    </row>
    <row r="43" spans="1:7">
      <c r="A43" s="103" t="s">
        <v>229</v>
      </c>
      <c r="B43" s="104"/>
      <c r="C43" s="104"/>
      <c r="D43" s="104"/>
      <c r="E43" s="104"/>
      <c r="F43" s="104"/>
      <c r="G43" s="105"/>
    </row>
    <row r="44" spans="1:7" ht="21">
      <c r="A44" s="83" t="s">
        <v>43</v>
      </c>
      <c r="B44" s="84">
        <f>$B$1</f>
        <v>1</v>
      </c>
      <c r="C44" s="85" t="s">
        <v>61</v>
      </c>
      <c r="D44" s="86" t="str">
        <f>$E$1</f>
        <v>一日毎</v>
      </c>
      <c r="E44" s="167" t="str">
        <f>$B$2</f>
        <v>クラウン・オヴ・スターズ</v>
      </c>
      <c r="F44" s="168"/>
      <c r="G44" s="169"/>
    </row>
  </sheetData>
  <mergeCells count="40">
    <mergeCell ref="E44:G44"/>
    <mergeCell ref="H11:H12"/>
    <mergeCell ref="B10:G10"/>
    <mergeCell ref="B11:G11"/>
    <mergeCell ref="B1:C1"/>
    <mergeCell ref="F1:G1"/>
    <mergeCell ref="B2:G2"/>
    <mergeCell ref="B4:G4"/>
    <mergeCell ref="B5:G5"/>
    <mergeCell ref="B6:D6"/>
    <mergeCell ref="A36:G36"/>
    <mergeCell ref="A23:A27"/>
    <mergeCell ref="B24:B25"/>
    <mergeCell ref="B26:B27"/>
    <mergeCell ref="A28:G28"/>
    <mergeCell ref="A29:G29"/>
    <mergeCell ref="A18:A22"/>
    <mergeCell ref="B19:B20"/>
    <mergeCell ref="B21:B22"/>
    <mergeCell ref="B7:G7"/>
    <mergeCell ref="B8:G8"/>
    <mergeCell ref="B9:G9"/>
    <mergeCell ref="B12:G12"/>
    <mergeCell ref="B13:G13"/>
    <mergeCell ref="B14:G14"/>
    <mergeCell ref="B15:G15"/>
    <mergeCell ref="A17:C17"/>
    <mergeCell ref="A30:G30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honeticPr fontId="1"/>
  <conditionalFormatting sqref="G6">
    <cfRule type="cellIs" dxfId="7" priority="3" operator="lessThan">
      <formula>9</formula>
    </cfRule>
  </conditionalFormatting>
  <conditionalFormatting sqref="F6">
    <cfRule type="cellIs" dxfId="6" priority="1" operator="notEqual">
      <formula>"遠隔"</formula>
    </cfRule>
    <cfRule type="cellIs" priority="2" operator="notEqual">
      <formula>"遠隔"</formula>
    </cfRule>
  </conditionalFormatting>
  <pageMargins left="0.70866141732283472" right="0.70866141732283472" top="0.74803149606299213" bottom="0.19685039370078741" header="0.31496062992125984" footer="0.31496062992125984"/>
  <pageSetup paperSize="9" orientation="portrait" horizontalDpi="300" verticalDpi="300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基本</vt:lpstr>
      <vt:lpstr>エルドリッチ・ブラスト</vt:lpstr>
      <vt:lpstr>ダイア・レイディアンス</vt:lpstr>
      <vt:lpstr>ドラゴンフロスト</vt:lpstr>
      <vt:lpstr>グロウ・オヴ・ウルバン</vt:lpstr>
      <vt:lpstr>ファー・レルム・ファンタズム</vt:lpstr>
      <vt:lpstr>トランス・イン・ザ・ガイド・スター</vt:lpstr>
      <vt:lpstr>ブレイズ･オブ･ウルバン</vt:lpstr>
      <vt:lpstr>クラウン・オヴ・スターズ</vt:lpstr>
      <vt:lpstr>クラウン・オヴ・スターズ (維持)</vt:lpstr>
      <vt:lpstr>フューリィ・オヴ・ギベス</vt:lpstr>
      <vt:lpstr>リング･オブ･ペイン</vt:lpstr>
      <vt:lpstr>エルドリッチ・ブラスト!Print_Area</vt:lpstr>
      <vt:lpstr>クラウン・オヴ・スターズ!Print_Area</vt:lpstr>
      <vt:lpstr>'クラウン・オヴ・スターズ (維持)'!Print_Area</vt:lpstr>
      <vt:lpstr>グロウ・オヴ・ウルバン!Print_Area</vt:lpstr>
      <vt:lpstr>ダイア・レイディアンス!Print_Area</vt:lpstr>
      <vt:lpstr>ドラゴンフロスト!Print_Area</vt:lpstr>
      <vt:lpstr>トランス・イン・ザ・ガイド・スター!Print_Area</vt:lpstr>
      <vt:lpstr>ファー・レルム・ファンタズム!Print_Area</vt:lpstr>
      <vt:lpstr>フューリィ・オヴ・ギベス!Print_Area</vt:lpstr>
      <vt:lpstr>ブレイズ･オブ･ウルバン!Print_Area</vt:lpstr>
      <vt:lpstr>リング･オブ･ペイン!Print_Area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</dc:creator>
  <cp:lastModifiedBy>CAMEL</cp:lastModifiedBy>
  <cp:lastPrinted>2012-08-24T04:57:31Z</cp:lastPrinted>
  <dcterms:created xsi:type="dcterms:W3CDTF">2012-08-09T16:34:12Z</dcterms:created>
  <dcterms:modified xsi:type="dcterms:W3CDTF">2012-08-24T05:27:49Z</dcterms:modified>
</cp:coreProperties>
</file>